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5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AP Rate Studies\CAP RATE STUDY 2026\2026 CAP Rate Study - All Industries - Worksheets\publish to website\"/>
    </mc:Choice>
  </mc:AlternateContent>
  <xr:revisionPtr revIDLastSave="0" documentId="13_ncr:1_{5ED2E1C4-C079-4A9C-ADAF-F738CC2096D0}" xr6:coauthVersionLast="47" xr6:coauthVersionMax="47" xr10:uidLastSave="{00000000-0000-0000-0000-000000000000}"/>
  <bookViews>
    <workbookView xWindow="28680" yWindow="-45" windowWidth="29040" windowHeight="15720" tabRatio="918" firstSheet="3" activeTab="13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CAPM" sheetId="34" r:id="rId13"/>
    <sheet name="Growth &amp; Inflation Rates" sheetId="38" r:id="rId14"/>
    <sheet name="Indicated Yield Equity Rate " sheetId="33" r:id="rId15"/>
    <sheet name="Single Stage Div Growth Model" sheetId="19" r:id="rId16"/>
    <sheet name="Two-Stage Div Growth Model" sheetId="20" r:id="rId17"/>
    <sheet name="Multiples" sheetId="25" r:id="rId18"/>
    <sheet name="Info" sheetId="9" r:id="rId19"/>
  </sheets>
  <definedNames>
    <definedName name="_xlnm.Print_Area" localSheetId="6">'Beta for CAPM'!$A$1:$H$39</definedName>
    <definedName name="_xlnm.Print_Area" localSheetId="12">CAPM!$A$1:$H$85</definedName>
    <definedName name="_xlnm.Print_Area" localSheetId="0">'Cover Sheet'!$A$1:$I$37</definedName>
    <definedName name="_xlnm.Print_Area" localSheetId="9">Debt!$A$1:$M$60</definedName>
    <definedName name="_xlnm.Print_Area" localSheetId="2">'Direct CapRates'!$A$1:$H$66</definedName>
    <definedName name="_xlnm.Print_Area" localSheetId="10">'Direct GCF'!$A$1:$N$40</definedName>
    <definedName name="_xlnm.Print_Area" localSheetId="11">'Direct NOPAT'!$A$1:$N$62</definedName>
    <definedName name="_xlnm.Print_Area" localSheetId="7">'Dividends '!$A$1:$K$32</definedName>
    <definedName name="_xlnm.Print_Area" localSheetId="8">Earnings!$A$1:$K$31</definedName>
    <definedName name="_xlnm.Print_Area" localSheetId="13">'Growth &amp; Inflation Rates'!$A$1:$I$108</definedName>
    <definedName name="_xlnm.Print_Area" localSheetId="14">'Indicated Yield Equity Rate '!$A$1:$F$62</definedName>
    <definedName name="_xlnm.Print_Area" localSheetId="5">'Maintenance CapEx'!$A$1:$L$77</definedName>
    <definedName name="_xlnm.Print_Area" localSheetId="4">'Market to Book Ratios'!$A$1:$G$62</definedName>
    <definedName name="_xlnm.Print_Area" localSheetId="17">Multiples!$A$1:$J$42</definedName>
    <definedName name="_xlnm.Print_Area" localSheetId="3">'S&amp;D'!$A$1:$L$78</definedName>
    <definedName name="_xlnm.Print_Area" localSheetId="15">'Single Stage Div Growth Model'!$A$1:$K$48</definedName>
    <definedName name="_xlnm.Print_Area" localSheetId="16">'Two-Stage Div Growth Model'!$A$1:$I$46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3" i="19" l="1"/>
  <c r="H27" i="20" l="1"/>
  <c r="H24" i="20"/>
  <c r="G26" i="20"/>
  <c r="G27" i="20"/>
  <c r="G28" i="20"/>
  <c r="G23" i="20"/>
  <c r="G22" i="20"/>
  <c r="H22" i="20"/>
  <c r="J33" i="12"/>
  <c r="I33" i="12"/>
  <c r="I21" i="8"/>
  <c r="J21" i="8" s="1"/>
  <c r="I18" i="25" l="1"/>
  <c r="E16" i="8"/>
  <c r="E17" i="8"/>
  <c r="E18" i="8"/>
  <c r="E19" i="8"/>
  <c r="E20" i="8"/>
  <c r="E21" i="8"/>
  <c r="E22" i="8"/>
  <c r="E15" i="8"/>
  <c r="I15" i="8"/>
  <c r="J15" i="8" s="1"/>
  <c r="I16" i="8"/>
  <c r="I17" i="8"/>
  <c r="I18" i="8"/>
  <c r="I19" i="8"/>
  <c r="K17" i="17"/>
  <c r="K19" i="17"/>
  <c r="F19" i="17"/>
  <c r="F22" i="17"/>
  <c r="H19" i="17"/>
  <c r="H22" i="17"/>
  <c r="H17" i="17"/>
  <c r="J17" i="17"/>
  <c r="D23" i="11" l="1"/>
  <c r="D24" i="11"/>
  <c r="E25" i="29"/>
  <c r="D21" i="11"/>
  <c r="D20" i="11"/>
  <c r="E24" i="11"/>
  <c r="E23" i="11"/>
  <c r="J29" i="3"/>
  <c r="H46" i="3"/>
  <c r="H77" i="3"/>
  <c r="G77" i="3"/>
  <c r="F46" i="3" s="1"/>
  <c r="H45" i="3"/>
  <c r="I76" i="3"/>
  <c r="H76" i="3"/>
  <c r="G76" i="3"/>
  <c r="J28" i="3"/>
  <c r="H28" i="3"/>
  <c r="H44" i="3"/>
  <c r="J27" i="3"/>
  <c r="H27" i="3"/>
  <c r="H43" i="3"/>
  <c r="J26" i="3"/>
  <c r="H42" i="3"/>
  <c r="I73" i="3"/>
  <c r="H73" i="3"/>
  <c r="G73" i="3"/>
  <c r="F42" i="3" s="1"/>
  <c r="J25" i="3"/>
  <c r="H25" i="3"/>
  <c r="H41" i="3"/>
  <c r="H72" i="3"/>
  <c r="G72" i="3"/>
  <c r="J24" i="3"/>
  <c r="H40" i="3"/>
  <c r="H71" i="3"/>
  <c r="G71" i="3"/>
  <c r="J23" i="3"/>
  <c r="H39" i="3"/>
  <c r="J22" i="3"/>
  <c r="F45" i="3"/>
  <c r="F44" i="3"/>
  <c r="F43" i="3"/>
  <c r="F41" i="3"/>
  <c r="F40" i="3"/>
  <c r="F39" i="3"/>
  <c r="C56" i="10" l="1"/>
  <c r="C58" i="10"/>
  <c r="K22" i="17" l="1"/>
  <c r="D25" i="10" l="1"/>
  <c r="D58" i="10"/>
  <c r="F21" i="20"/>
  <c r="F27" i="20" s="1"/>
  <c r="E40" i="3"/>
  <c r="E41" i="3"/>
  <c r="E42" i="3"/>
  <c r="E43" i="3"/>
  <c r="E44" i="3"/>
  <c r="E45" i="3"/>
  <c r="E46" i="3"/>
  <c r="E39" i="3"/>
  <c r="J16" i="8"/>
  <c r="J17" i="8"/>
  <c r="J18" i="8"/>
  <c r="J19" i="8"/>
  <c r="J22" i="8"/>
  <c r="F22" i="20" l="1"/>
  <c r="F23" i="20"/>
  <c r="F25" i="20"/>
  <c r="F28" i="20"/>
  <c r="F24" i="20"/>
  <c r="F26" i="20"/>
  <c r="E48" i="12"/>
  <c r="E49" i="12"/>
  <c r="E50" i="12"/>
  <c r="E51" i="12"/>
  <c r="E52" i="12"/>
  <c r="E53" i="12"/>
  <c r="E54" i="12"/>
  <c r="E47" i="12"/>
  <c r="K17" i="12"/>
  <c r="K18" i="12"/>
  <c r="K19" i="12"/>
  <c r="K20" i="12"/>
  <c r="K21" i="12"/>
  <c r="K22" i="12"/>
  <c r="K23" i="12"/>
  <c r="K16" i="12"/>
  <c r="E17" i="12"/>
  <c r="E18" i="12"/>
  <c r="E19" i="12"/>
  <c r="E20" i="12"/>
  <c r="E21" i="12"/>
  <c r="E22" i="12"/>
  <c r="E23" i="12"/>
  <c r="E16" i="12"/>
  <c r="C27" i="11" l="1"/>
  <c r="C26" i="11"/>
  <c r="C25" i="11"/>
  <c r="C24" i="11"/>
  <c r="C23" i="11"/>
  <c r="C22" i="11"/>
  <c r="C21" i="11"/>
  <c r="C20" i="11"/>
  <c r="F42" i="34"/>
  <c r="F43" i="34"/>
  <c r="F45" i="34"/>
  <c r="F46" i="34"/>
  <c r="F47" i="34"/>
  <c r="F48" i="34"/>
  <c r="F50" i="34"/>
  <c r="F52" i="34"/>
  <c r="F54" i="34"/>
  <c r="F55" i="34"/>
  <c r="F57" i="34"/>
  <c r="F58" i="34"/>
  <c r="F59" i="34"/>
  <c r="E28" i="34"/>
  <c r="E29" i="34"/>
  <c r="E31" i="34"/>
  <c r="E32" i="34"/>
  <c r="E33" i="34"/>
  <c r="E26" i="34"/>
  <c r="E24" i="34"/>
  <c r="E22" i="34"/>
  <c r="E21" i="34"/>
  <c r="E20" i="34"/>
  <c r="E19" i="34"/>
  <c r="E17" i="34"/>
  <c r="E16" i="34"/>
  <c r="E53" i="38"/>
  <c r="D53" i="38"/>
  <c r="E52" i="38"/>
  <c r="D52" i="38"/>
  <c r="E51" i="38"/>
  <c r="D51" i="38"/>
  <c r="E50" i="38"/>
  <c r="D50" i="38"/>
  <c r="F49" i="38"/>
  <c r="F47" i="38"/>
  <c r="F46" i="38"/>
  <c r="F45" i="38"/>
  <c r="F44" i="38"/>
  <c r="F43" i="38"/>
  <c r="F42" i="38"/>
  <c r="F41" i="38"/>
  <c r="A15" i="38"/>
  <c r="F52" i="38" l="1"/>
  <c r="F53" i="38"/>
  <c r="F50" i="38"/>
  <c r="F51" i="38"/>
  <c r="D17" i="25"/>
  <c r="D18" i="25"/>
  <c r="D19" i="25"/>
  <c r="D20" i="25"/>
  <c r="D21" i="25"/>
  <c r="D22" i="25"/>
  <c r="D23" i="25"/>
  <c r="D16" i="25"/>
  <c r="H25" i="25" l="1"/>
  <c r="H24" i="25"/>
  <c r="E25" i="25"/>
  <c r="E24" i="25"/>
  <c r="H26" i="19"/>
  <c r="G26" i="19"/>
  <c r="H25" i="19"/>
  <c r="G25" i="19"/>
  <c r="E56" i="12"/>
  <c r="E57" i="12"/>
  <c r="K26" i="12"/>
  <c r="K25" i="12"/>
  <c r="E26" i="12"/>
  <c r="E25" i="12"/>
  <c r="J27" i="5"/>
  <c r="J26" i="5"/>
  <c r="D27" i="5"/>
  <c r="D26" i="5"/>
  <c r="I25" i="27"/>
  <c r="G25" i="27"/>
  <c r="I24" i="27"/>
  <c r="G24" i="27"/>
  <c r="E25" i="27"/>
  <c r="E24" i="27"/>
  <c r="I26" i="17"/>
  <c r="G26" i="17"/>
  <c r="I25" i="17"/>
  <c r="G25" i="17"/>
  <c r="E26" i="17"/>
  <c r="E25" i="17"/>
  <c r="J25" i="8" l="1"/>
  <c r="I25" i="8"/>
  <c r="J24" i="8"/>
  <c r="I24" i="8"/>
  <c r="G25" i="8"/>
  <c r="G24" i="8"/>
  <c r="H28" i="14" l="1"/>
  <c r="H27" i="14"/>
  <c r="B46" i="34" l="1"/>
  <c r="E46" i="34" s="1"/>
  <c r="A46" i="34"/>
  <c r="A59" i="34"/>
  <c r="A58" i="34"/>
  <c r="A57" i="34"/>
  <c r="A48" i="34"/>
  <c r="A47" i="34"/>
  <c r="A45" i="34"/>
  <c r="B58" i="34" l="1"/>
  <c r="E58" i="34" s="1"/>
  <c r="B48" i="34"/>
  <c r="E48" i="34" s="1"/>
  <c r="B47" i="34"/>
  <c r="E47" i="34" s="1"/>
  <c r="A6" i="25"/>
  <c r="A6" i="20"/>
  <c r="A6" i="19"/>
  <c r="A6" i="34"/>
  <c r="A6" i="33"/>
  <c r="A6" i="12"/>
  <c r="A6" i="5"/>
  <c r="A6" i="8"/>
  <c r="A6" i="27"/>
  <c r="A6" i="17"/>
  <c r="A8" i="14"/>
  <c r="A8" i="11"/>
  <c r="A16" i="6"/>
  <c r="D16" i="7"/>
  <c r="D15" i="10"/>
  <c r="A9" i="29"/>
  <c r="C16" i="34"/>
  <c r="B59" i="34"/>
  <c r="E59" i="34" s="1"/>
  <c r="B57" i="34"/>
  <c r="E57" i="34" s="1"/>
  <c r="B55" i="34"/>
  <c r="E55" i="34" s="1"/>
  <c r="B54" i="34"/>
  <c r="E54" i="34" s="1"/>
  <c r="B52" i="34"/>
  <c r="E52" i="34" s="1"/>
  <c r="B50" i="34"/>
  <c r="E50" i="34" s="1"/>
  <c r="B45" i="34"/>
  <c r="E45" i="34" s="1"/>
  <c r="B43" i="34"/>
  <c r="E43" i="34" s="1"/>
  <c r="B42" i="34"/>
  <c r="E42" i="34" s="1"/>
  <c r="C31" i="34" l="1"/>
  <c r="C57" i="34" s="1"/>
  <c r="D57" i="34" s="1"/>
  <c r="C20" i="34"/>
  <c r="C22" i="34"/>
  <c r="C21" i="34"/>
  <c r="C17" i="34"/>
  <c r="D17" i="34" s="1"/>
  <c r="C19" i="34"/>
  <c r="C45" i="34" s="1"/>
  <c r="D45" i="34" s="1"/>
  <c r="C29" i="34"/>
  <c r="C59" i="34" s="1"/>
  <c r="D59" i="34" s="1"/>
  <c r="C28" i="34"/>
  <c r="C54" i="34" s="1"/>
  <c r="D54" i="34" s="1"/>
  <c r="C42" i="34"/>
  <c r="D42" i="34" s="1"/>
  <c r="G42" i="34" s="1"/>
  <c r="D28" i="33" s="1"/>
  <c r="D31" i="34"/>
  <c r="C26" i="34"/>
  <c r="C33" i="34"/>
  <c r="D16" i="34"/>
  <c r="F16" i="34" s="1"/>
  <c r="C24" i="34"/>
  <c r="G54" i="34" l="1"/>
  <c r="D36" i="33" s="1"/>
  <c r="G45" i="34"/>
  <c r="D30" i="33" s="1"/>
  <c r="G57" i="34"/>
  <c r="D38" i="33" s="1"/>
  <c r="C46" i="34"/>
  <c r="D46" i="34" s="1"/>
  <c r="D20" i="34"/>
  <c r="F20" i="34" s="1"/>
  <c r="D18" i="33" s="1"/>
  <c r="D21" i="34"/>
  <c r="F21" i="34" s="1"/>
  <c r="D19" i="33" s="1"/>
  <c r="C47" i="34"/>
  <c r="D47" i="34" s="1"/>
  <c r="G47" i="34" s="1"/>
  <c r="D32" i="33" s="1"/>
  <c r="C43" i="34"/>
  <c r="D43" i="34" s="1"/>
  <c r="C32" i="34"/>
  <c r="C48" i="34"/>
  <c r="D48" i="34" s="1"/>
  <c r="G48" i="34" s="1"/>
  <c r="D33" i="33" s="1"/>
  <c r="D22" i="34"/>
  <c r="F22" i="34" s="1"/>
  <c r="D20" i="33" s="1"/>
  <c r="F17" i="34"/>
  <c r="F31" i="34"/>
  <c r="D25" i="33" s="1"/>
  <c r="G59" i="34"/>
  <c r="D40" i="33" s="1"/>
  <c r="D28" i="34"/>
  <c r="F28" i="34" s="1"/>
  <c r="D29" i="34"/>
  <c r="F29" i="34" s="1"/>
  <c r="C55" i="34"/>
  <c r="D55" i="34" s="1"/>
  <c r="G55" i="34" s="1"/>
  <c r="D37" i="33" s="1"/>
  <c r="D19" i="34"/>
  <c r="F19" i="34" s="1"/>
  <c r="C50" i="34"/>
  <c r="D50" i="34" s="1"/>
  <c r="G50" i="34" s="1"/>
  <c r="D34" i="33" s="1"/>
  <c r="D24" i="34"/>
  <c r="F24" i="34" s="1"/>
  <c r="D26" i="34"/>
  <c r="F26" i="34" s="1"/>
  <c r="C52" i="34"/>
  <c r="D52" i="34" s="1"/>
  <c r="G52" i="34" s="1"/>
  <c r="D35" i="33" s="1"/>
  <c r="D33" i="34"/>
  <c r="F33" i="34" s="1"/>
  <c r="D27" i="33" s="1"/>
  <c r="G43" i="34" l="1"/>
  <c r="D29" i="33" s="1"/>
  <c r="G46" i="34"/>
  <c r="D31" i="33" s="1"/>
  <c r="D32" i="34"/>
  <c r="F32" i="34" s="1"/>
  <c r="D26" i="33" s="1"/>
  <c r="C58" i="34"/>
  <c r="D58" i="34" s="1"/>
  <c r="G58" i="34" s="1"/>
  <c r="D39" i="33" s="1"/>
  <c r="D45" i="33"/>
  <c r="D44" i="33"/>
  <c r="D42" i="33"/>
  <c r="D23" i="7"/>
  <c r="D15" i="33" l="1"/>
  <c r="D17" i="33" l="1"/>
  <c r="D22" i="33"/>
  <c r="D24" i="33"/>
  <c r="D16" i="33"/>
  <c r="D23" i="33"/>
  <c r="D21" i="33"/>
  <c r="E28" i="20" l="1"/>
  <c r="E27" i="20"/>
  <c r="E26" i="20"/>
  <c r="E25" i="20"/>
  <c r="E24" i="20"/>
  <c r="G24" i="20" s="1"/>
  <c r="E23" i="20"/>
  <c r="E22" i="20"/>
  <c r="E21" i="20"/>
  <c r="G21" i="20" s="1"/>
  <c r="F23" i="11" l="1"/>
  <c r="H23" i="11" s="1"/>
  <c r="F24" i="11"/>
  <c r="H24" i="11" s="1"/>
  <c r="D39" i="3"/>
  <c r="I23" i="25"/>
  <c r="J23" i="25" s="1"/>
  <c r="C23" i="25"/>
  <c r="B23" i="25"/>
  <c r="F22" i="25"/>
  <c r="G22" i="25" s="1"/>
  <c r="C22" i="25"/>
  <c r="B22" i="25"/>
  <c r="I21" i="25"/>
  <c r="J21" i="25" s="1"/>
  <c r="C21" i="25"/>
  <c r="B21" i="25"/>
  <c r="I20" i="25"/>
  <c r="J20" i="25" s="1"/>
  <c r="C20" i="25"/>
  <c r="B20" i="25"/>
  <c r="F19" i="25"/>
  <c r="G19" i="25" s="1"/>
  <c r="C19" i="25"/>
  <c r="B19" i="25"/>
  <c r="C28" i="20"/>
  <c r="B28" i="20"/>
  <c r="A28" i="20"/>
  <c r="C27" i="20"/>
  <c r="B27" i="20"/>
  <c r="A27" i="20"/>
  <c r="C26" i="20"/>
  <c r="B26" i="20"/>
  <c r="A26" i="20"/>
  <c r="C25" i="20"/>
  <c r="B25" i="20"/>
  <c r="A25" i="20"/>
  <c r="C24" i="20"/>
  <c r="B24" i="20"/>
  <c r="A24" i="20"/>
  <c r="D24" i="19"/>
  <c r="C24" i="19"/>
  <c r="B24" i="19"/>
  <c r="A24" i="19"/>
  <c r="D23" i="19"/>
  <c r="C23" i="19"/>
  <c r="B23" i="19"/>
  <c r="A23" i="19"/>
  <c r="D22" i="19"/>
  <c r="C22" i="19"/>
  <c r="B22" i="19"/>
  <c r="A22" i="19"/>
  <c r="D21" i="19"/>
  <c r="C21" i="19"/>
  <c r="B21" i="19"/>
  <c r="A21" i="19"/>
  <c r="D20" i="19"/>
  <c r="C20" i="19"/>
  <c r="B20" i="19"/>
  <c r="A20" i="19"/>
  <c r="D54" i="12"/>
  <c r="F54" i="12" s="1"/>
  <c r="G54" i="12" s="1"/>
  <c r="C54" i="12"/>
  <c r="A54" i="12"/>
  <c r="D53" i="12"/>
  <c r="F53" i="12" s="1"/>
  <c r="G53" i="12" s="1"/>
  <c r="C53" i="12"/>
  <c r="A53" i="12"/>
  <c r="D52" i="12"/>
  <c r="F52" i="12" s="1"/>
  <c r="G52" i="12" s="1"/>
  <c r="C52" i="12"/>
  <c r="A52" i="12"/>
  <c r="D51" i="12"/>
  <c r="F51" i="12" s="1"/>
  <c r="G51" i="12" s="1"/>
  <c r="C51" i="12"/>
  <c r="A51" i="12"/>
  <c r="D50" i="12"/>
  <c r="F50" i="12" s="1"/>
  <c r="G50" i="12" s="1"/>
  <c r="C50" i="12"/>
  <c r="A50" i="12"/>
  <c r="D23" i="12"/>
  <c r="J23" i="12" s="1"/>
  <c r="L23" i="12" s="1"/>
  <c r="M23" i="12" s="1"/>
  <c r="C23" i="12"/>
  <c r="I23" i="12" s="1"/>
  <c r="A23" i="12"/>
  <c r="D22" i="12"/>
  <c r="J22" i="12" s="1"/>
  <c r="L22" i="12" s="1"/>
  <c r="M22" i="12" s="1"/>
  <c r="C22" i="12"/>
  <c r="I22" i="12" s="1"/>
  <c r="A22" i="12"/>
  <c r="D21" i="12"/>
  <c r="F21" i="12" s="1"/>
  <c r="G21" i="12" s="1"/>
  <c r="C21" i="12"/>
  <c r="I21" i="12" s="1"/>
  <c r="A21" i="12"/>
  <c r="D20" i="12"/>
  <c r="J20" i="12" s="1"/>
  <c r="L20" i="12" s="1"/>
  <c r="M20" i="12" s="1"/>
  <c r="C20" i="12"/>
  <c r="I20" i="12" s="1"/>
  <c r="A20" i="12"/>
  <c r="D19" i="12"/>
  <c r="F19" i="12" s="1"/>
  <c r="G19" i="12" s="1"/>
  <c r="C19" i="12"/>
  <c r="I19" i="12" s="1"/>
  <c r="A19" i="12"/>
  <c r="C24" i="5"/>
  <c r="E24" i="5" s="1"/>
  <c r="F24" i="5" s="1"/>
  <c r="B24" i="5"/>
  <c r="H24" i="5" s="1"/>
  <c r="A24" i="5"/>
  <c r="C23" i="5"/>
  <c r="I23" i="5" s="1"/>
  <c r="L23" i="5" s="1"/>
  <c r="M23" i="5" s="1"/>
  <c r="B23" i="5"/>
  <c r="H23" i="5" s="1"/>
  <c r="A23" i="5"/>
  <c r="C22" i="5"/>
  <c r="I22" i="5" s="1"/>
  <c r="L22" i="5" s="1"/>
  <c r="M22" i="5" s="1"/>
  <c r="B22" i="5"/>
  <c r="H22" i="5" s="1"/>
  <c r="A22" i="5"/>
  <c r="C21" i="5"/>
  <c r="E21" i="5" s="1"/>
  <c r="F21" i="5" s="1"/>
  <c r="B21" i="5"/>
  <c r="H21" i="5" s="1"/>
  <c r="A21" i="5"/>
  <c r="C20" i="5"/>
  <c r="E20" i="5" s="1"/>
  <c r="F20" i="5" s="1"/>
  <c r="B20" i="5"/>
  <c r="H20" i="5" s="1"/>
  <c r="A20" i="5"/>
  <c r="D22" i="8"/>
  <c r="C22" i="8"/>
  <c r="B22" i="8"/>
  <c r="A22" i="8"/>
  <c r="D21" i="8"/>
  <c r="C21" i="8"/>
  <c r="B21" i="8"/>
  <c r="A21" i="8"/>
  <c r="D20" i="8"/>
  <c r="C20" i="8"/>
  <c r="B20" i="8"/>
  <c r="A20" i="8"/>
  <c r="D19" i="8"/>
  <c r="C19" i="8"/>
  <c r="B19" i="8"/>
  <c r="A19" i="8"/>
  <c r="D18" i="8"/>
  <c r="C18" i="8"/>
  <c r="B18" i="8"/>
  <c r="A18" i="8"/>
  <c r="K23" i="27"/>
  <c r="D23" i="27"/>
  <c r="J23" i="27" s="1"/>
  <c r="C23" i="27"/>
  <c r="B23" i="27"/>
  <c r="A23" i="27"/>
  <c r="K22" i="27"/>
  <c r="D22" i="27"/>
  <c r="J22" i="27" s="1"/>
  <c r="C22" i="27"/>
  <c r="B22" i="27"/>
  <c r="A22" i="27"/>
  <c r="K21" i="27"/>
  <c r="D21" i="27"/>
  <c r="C21" i="27"/>
  <c r="B21" i="27"/>
  <c r="A21" i="27"/>
  <c r="K20" i="27"/>
  <c r="D20" i="27"/>
  <c r="J20" i="27" s="1"/>
  <c r="C20" i="27"/>
  <c r="B20" i="27"/>
  <c r="A20" i="27"/>
  <c r="K19" i="27"/>
  <c r="D19" i="27"/>
  <c r="J19" i="27" s="1"/>
  <c r="C19" i="27"/>
  <c r="B19" i="27"/>
  <c r="A19" i="27"/>
  <c r="D23" i="17"/>
  <c r="C23" i="17"/>
  <c r="B23" i="17"/>
  <c r="A23" i="17"/>
  <c r="D22" i="17"/>
  <c r="J22" i="17" s="1"/>
  <c r="C22" i="17"/>
  <c r="B22" i="17"/>
  <c r="A22" i="17"/>
  <c r="D21" i="17"/>
  <c r="J21" i="17" s="1"/>
  <c r="C21" i="17"/>
  <c r="B21" i="17"/>
  <c r="A21" i="17"/>
  <c r="D20" i="17"/>
  <c r="C20" i="17"/>
  <c r="B20" i="17"/>
  <c r="A20" i="17"/>
  <c r="D19" i="17"/>
  <c r="C19" i="17"/>
  <c r="B19" i="17"/>
  <c r="A19" i="17"/>
  <c r="C25" i="14"/>
  <c r="B25" i="14"/>
  <c r="A25" i="14"/>
  <c r="C24" i="14"/>
  <c r="B24" i="14"/>
  <c r="A24" i="14"/>
  <c r="C23" i="14"/>
  <c r="B23" i="14"/>
  <c r="A23" i="14"/>
  <c r="C22" i="14"/>
  <c r="B22" i="14"/>
  <c r="A22" i="14"/>
  <c r="C21" i="14"/>
  <c r="B21" i="14"/>
  <c r="A21" i="14"/>
  <c r="F27" i="11"/>
  <c r="H27" i="11" s="1"/>
  <c r="B27" i="11"/>
  <c r="A27" i="11"/>
  <c r="F26" i="11"/>
  <c r="H26" i="11" s="1"/>
  <c r="B26" i="11"/>
  <c r="A26" i="11"/>
  <c r="F25" i="11"/>
  <c r="H25" i="11" s="1"/>
  <c r="B25" i="11"/>
  <c r="A25" i="11"/>
  <c r="B24" i="11"/>
  <c r="A24" i="11"/>
  <c r="B23" i="11"/>
  <c r="A23" i="11"/>
  <c r="E48" i="29"/>
  <c r="E47" i="29"/>
  <c r="E46" i="29"/>
  <c r="E45" i="29"/>
  <c r="E44" i="29"/>
  <c r="C29" i="29"/>
  <c r="C48" i="29" s="1"/>
  <c r="B29" i="29"/>
  <c r="B48" i="29" s="1"/>
  <c r="A29" i="29"/>
  <c r="C28" i="29"/>
  <c r="C47" i="29" s="1"/>
  <c r="B28" i="29"/>
  <c r="B47" i="29" s="1"/>
  <c r="A28" i="29"/>
  <c r="A47" i="29" s="1"/>
  <c r="C27" i="29"/>
  <c r="C46" i="29" s="1"/>
  <c r="B27" i="29"/>
  <c r="B46" i="29" s="1"/>
  <c r="A27" i="29"/>
  <c r="A46" i="29" s="1"/>
  <c r="C26" i="29"/>
  <c r="C45" i="29" s="1"/>
  <c r="B26" i="29"/>
  <c r="B45" i="29" s="1"/>
  <c r="A26" i="29"/>
  <c r="A45" i="29" s="1"/>
  <c r="C25" i="29"/>
  <c r="C44" i="29" s="1"/>
  <c r="B25" i="29"/>
  <c r="B44" i="29" s="1"/>
  <c r="A25" i="29"/>
  <c r="A44" i="29" s="1"/>
  <c r="D48" i="29"/>
  <c r="D44" i="29"/>
  <c r="D46" i="3"/>
  <c r="D45" i="3"/>
  <c r="D44" i="3"/>
  <c r="D43" i="3"/>
  <c r="D42" i="3"/>
  <c r="D41" i="3"/>
  <c r="D40" i="3"/>
  <c r="C46" i="3"/>
  <c r="B46" i="3"/>
  <c r="C45" i="3"/>
  <c r="B45" i="3"/>
  <c r="C44" i="3"/>
  <c r="B44" i="3"/>
  <c r="C43" i="3"/>
  <c r="B43" i="3"/>
  <c r="C42" i="3"/>
  <c r="B42" i="3"/>
  <c r="C41" i="3"/>
  <c r="B41" i="3"/>
  <c r="C40" i="3"/>
  <c r="B40" i="3"/>
  <c r="C39" i="3"/>
  <c r="B39" i="3"/>
  <c r="A46" i="3"/>
  <c r="E77" i="3" s="1"/>
  <c r="A45" i="3"/>
  <c r="E76" i="3" s="1"/>
  <c r="A44" i="3"/>
  <c r="E75" i="3" s="1"/>
  <c r="A43" i="3"/>
  <c r="E74" i="3" s="1"/>
  <c r="A42" i="3"/>
  <c r="E73" i="3" s="1"/>
  <c r="A41" i="3"/>
  <c r="E72" i="3" s="1"/>
  <c r="A40" i="3"/>
  <c r="E71" i="3" s="1"/>
  <c r="A39" i="3"/>
  <c r="E70" i="3" s="1"/>
  <c r="F29" i="3"/>
  <c r="F28" i="3"/>
  <c r="F27" i="3"/>
  <c r="F26" i="3"/>
  <c r="F25" i="3"/>
  <c r="F24" i="3"/>
  <c r="F23" i="3"/>
  <c r="F22" i="3"/>
  <c r="J21" i="27" l="1"/>
  <c r="F21" i="27"/>
  <c r="K26" i="17"/>
  <c r="K25" i="17"/>
  <c r="J19" i="17"/>
  <c r="F20" i="19"/>
  <c r="E21" i="19"/>
  <c r="I43" i="3"/>
  <c r="K43" i="3" s="1"/>
  <c r="D28" i="29"/>
  <c r="F28" i="29" s="1"/>
  <c r="I45" i="3"/>
  <c r="K45" i="3" s="1"/>
  <c r="I39" i="3"/>
  <c r="K39" i="3" s="1"/>
  <c r="E24" i="19"/>
  <c r="I46" i="3"/>
  <c r="K46" i="3" s="1"/>
  <c r="D25" i="29"/>
  <c r="F25" i="29" s="1"/>
  <c r="I42" i="3"/>
  <c r="K42" i="3" s="1"/>
  <c r="E22" i="19"/>
  <c r="I44" i="3"/>
  <c r="K44" i="3" s="1"/>
  <c r="I40" i="3"/>
  <c r="I41" i="3"/>
  <c r="K41" i="3" s="1"/>
  <c r="E22" i="5"/>
  <c r="F22" i="5" s="1"/>
  <c r="F44" i="29"/>
  <c r="F23" i="19"/>
  <c r="F22" i="12"/>
  <c r="G22" i="12" s="1"/>
  <c r="D46" i="29"/>
  <c r="F46" i="29" s="1"/>
  <c r="D27" i="29"/>
  <c r="F27" i="29" s="1"/>
  <c r="K28" i="17"/>
  <c r="F16" i="38" s="1"/>
  <c r="K27" i="17"/>
  <c r="F15" i="38" s="1"/>
  <c r="D45" i="29"/>
  <c r="F45" i="29" s="1"/>
  <c r="D47" i="29"/>
  <c r="F47" i="29" s="1"/>
  <c r="F48" i="29"/>
  <c r="E20" i="19"/>
  <c r="E23" i="5"/>
  <c r="F23" i="5" s="1"/>
  <c r="E23" i="19"/>
  <c r="D29" i="29"/>
  <c r="F29" i="29" s="1"/>
  <c r="F23" i="12"/>
  <c r="G23" i="12" s="1"/>
  <c r="F23" i="25"/>
  <c r="G23" i="25" s="1"/>
  <c r="D26" i="29"/>
  <c r="F26" i="29" s="1"/>
  <c r="I23" i="11"/>
  <c r="I19" i="25"/>
  <c r="J19" i="25" s="1"/>
  <c r="F20" i="25"/>
  <c r="G20" i="25" s="1"/>
  <c r="I22" i="25"/>
  <c r="J22" i="25" s="1"/>
  <c r="F21" i="25"/>
  <c r="G21" i="25" s="1"/>
  <c r="F20" i="12"/>
  <c r="G20" i="12" s="1"/>
  <c r="J19" i="12"/>
  <c r="L19" i="12" s="1"/>
  <c r="M19" i="12" s="1"/>
  <c r="J21" i="12"/>
  <c r="L21" i="12" s="1"/>
  <c r="M21" i="12" s="1"/>
  <c r="I20" i="5"/>
  <c r="L20" i="5" s="1"/>
  <c r="M20" i="5" s="1"/>
  <c r="I21" i="5"/>
  <c r="L21" i="5" s="1"/>
  <c r="M21" i="5" s="1"/>
  <c r="I24" i="5"/>
  <c r="L24" i="5" s="1"/>
  <c r="M24" i="5" s="1"/>
  <c r="F20" i="27"/>
  <c r="F23" i="27"/>
  <c r="H19" i="27"/>
  <c r="H20" i="27"/>
  <c r="H21" i="27"/>
  <c r="H22" i="27"/>
  <c r="H23" i="27"/>
  <c r="F19" i="27"/>
  <c r="F22" i="27"/>
  <c r="F21" i="19"/>
  <c r="D25" i="20" s="1"/>
  <c r="F22" i="19"/>
  <c r="D26" i="20" s="1"/>
  <c r="F24" i="19"/>
  <c r="J25" i="11"/>
  <c r="I25" i="11"/>
  <c r="I27" i="11"/>
  <c r="J26" i="11"/>
  <c r="J23" i="11"/>
  <c r="I24" i="11"/>
  <c r="I26" i="11"/>
  <c r="J24" i="11"/>
  <c r="J27" i="11"/>
  <c r="D24" i="20" l="1"/>
  <c r="J20" i="19"/>
  <c r="D27" i="20"/>
  <c r="J46" i="3"/>
  <c r="J45" i="3"/>
  <c r="J43" i="3"/>
  <c r="J40" i="3"/>
  <c r="K40" i="3"/>
  <c r="J41" i="3"/>
  <c r="J42" i="3"/>
  <c r="J44" i="3"/>
  <c r="K26" i="11"/>
  <c r="L26" i="11" s="1"/>
  <c r="J39" i="3"/>
  <c r="K25" i="11"/>
  <c r="L25" i="11" s="1"/>
  <c r="D28" i="20"/>
  <c r="K23" i="11"/>
  <c r="L23" i="11" s="1"/>
  <c r="K27" i="11"/>
  <c r="L27" i="11" s="1"/>
  <c r="K24" i="11"/>
  <c r="L24" i="11" s="1"/>
  <c r="D43" i="33" l="1"/>
  <c r="K47" i="3"/>
  <c r="K48" i="3"/>
  <c r="J47" i="3"/>
  <c r="J48" i="3"/>
  <c r="F22" i="11"/>
  <c r="F20" i="11"/>
  <c r="D48" i="33" l="1"/>
  <c r="D47" i="33"/>
  <c r="D49" i="33"/>
  <c r="D50" i="33"/>
  <c r="F21" i="11"/>
  <c r="A47" i="12" l="1"/>
  <c r="C47" i="12"/>
  <c r="D47" i="12"/>
  <c r="A48" i="12"/>
  <c r="C48" i="12"/>
  <c r="D48" i="12"/>
  <c r="A49" i="12"/>
  <c r="C49" i="12"/>
  <c r="D49" i="12"/>
  <c r="F49" i="12" l="1"/>
  <c r="G49" i="12" s="1"/>
  <c r="F48" i="12"/>
  <c r="G48" i="12" s="1"/>
  <c r="F47" i="12"/>
  <c r="F56" i="12" l="1"/>
  <c r="F57" i="12"/>
  <c r="F59" i="12"/>
  <c r="F58" i="12"/>
  <c r="G47" i="12"/>
  <c r="G58" i="12" l="1"/>
  <c r="G56" i="12"/>
  <c r="G57" i="12"/>
  <c r="G59" i="12"/>
  <c r="C18" i="25" l="1"/>
  <c r="B18" i="25"/>
  <c r="C17" i="25"/>
  <c r="B17" i="25"/>
  <c r="C23" i="20"/>
  <c r="B23" i="20"/>
  <c r="A23" i="20"/>
  <c r="C22" i="20"/>
  <c r="B22" i="20"/>
  <c r="A22" i="20"/>
  <c r="D19" i="19"/>
  <c r="C19" i="19"/>
  <c r="B19" i="19"/>
  <c r="A19" i="19"/>
  <c r="D18" i="19"/>
  <c r="C18" i="19"/>
  <c r="B18" i="19"/>
  <c r="A18" i="19"/>
  <c r="D18" i="12"/>
  <c r="F18" i="12" s="1"/>
  <c r="G18" i="12" s="1"/>
  <c r="C18" i="12"/>
  <c r="I18" i="12" s="1"/>
  <c r="A18" i="12"/>
  <c r="D17" i="12"/>
  <c r="J17" i="12" s="1"/>
  <c r="L17" i="12" s="1"/>
  <c r="M17" i="12" s="1"/>
  <c r="C17" i="12"/>
  <c r="I17" i="12" s="1"/>
  <c r="A17" i="12"/>
  <c r="C19" i="5"/>
  <c r="I19" i="5" s="1"/>
  <c r="L19" i="5" s="1"/>
  <c r="M19" i="5" s="1"/>
  <c r="B19" i="5"/>
  <c r="H19" i="5" s="1"/>
  <c r="A19" i="5"/>
  <c r="C18" i="5"/>
  <c r="E18" i="5" s="1"/>
  <c r="F18" i="5" s="1"/>
  <c r="B18" i="5"/>
  <c r="H18" i="5" s="1"/>
  <c r="A18" i="5"/>
  <c r="D17" i="8"/>
  <c r="C17" i="8"/>
  <c r="B17" i="8"/>
  <c r="A17" i="8"/>
  <c r="D16" i="8"/>
  <c r="C16" i="8"/>
  <c r="B16" i="8"/>
  <c r="A16" i="8"/>
  <c r="K18" i="27"/>
  <c r="D18" i="27"/>
  <c r="J18" i="27" s="1"/>
  <c r="C18" i="27"/>
  <c r="B18" i="27"/>
  <c r="A18" i="27"/>
  <c r="K17" i="27"/>
  <c r="D17" i="27"/>
  <c r="J17" i="27" s="1"/>
  <c r="C17" i="27"/>
  <c r="B17" i="27"/>
  <c r="A17" i="27"/>
  <c r="D18" i="17"/>
  <c r="C18" i="17"/>
  <c r="B18" i="17"/>
  <c r="A18" i="17"/>
  <c r="D17" i="17"/>
  <c r="C17" i="17"/>
  <c r="B17" i="17"/>
  <c r="A17" i="17"/>
  <c r="C20" i="14"/>
  <c r="B20" i="14"/>
  <c r="A20" i="14"/>
  <c r="C19" i="14"/>
  <c r="B19" i="14"/>
  <c r="A19" i="14"/>
  <c r="H22" i="11"/>
  <c r="B22" i="11"/>
  <c r="A22" i="11"/>
  <c r="H21" i="11"/>
  <c r="B21" i="11"/>
  <c r="A21" i="11"/>
  <c r="A48" i="29"/>
  <c r="C24" i="29"/>
  <c r="C43" i="29" s="1"/>
  <c r="B24" i="29"/>
  <c r="B43" i="29" s="1"/>
  <c r="A24" i="29"/>
  <c r="A43" i="29" s="1"/>
  <c r="C23" i="29"/>
  <c r="C42" i="29" s="1"/>
  <c r="B23" i="29"/>
  <c r="B42" i="29" s="1"/>
  <c r="A23" i="29"/>
  <c r="A42" i="29" s="1"/>
  <c r="E19" i="19"/>
  <c r="E43" i="29"/>
  <c r="F18" i="25" l="1"/>
  <c r="G18" i="25" s="1"/>
  <c r="J18" i="25"/>
  <c r="F17" i="25"/>
  <c r="G17" i="25" s="1"/>
  <c r="I17" i="25"/>
  <c r="J17" i="25" s="1"/>
  <c r="I21" i="11"/>
  <c r="D42" i="29"/>
  <c r="F18" i="27"/>
  <c r="E42" i="29"/>
  <c r="E19" i="5"/>
  <c r="F19" i="5" s="1"/>
  <c r="F17" i="27"/>
  <c r="F17" i="12"/>
  <c r="G17" i="12" s="1"/>
  <c r="D23" i="29"/>
  <c r="F23" i="29" s="1"/>
  <c r="D24" i="29"/>
  <c r="F24" i="29" s="1"/>
  <c r="E18" i="19"/>
  <c r="J18" i="12"/>
  <c r="L18" i="12" s="1"/>
  <c r="M18" i="12" s="1"/>
  <c r="I18" i="5"/>
  <c r="L18" i="5" s="1"/>
  <c r="M18" i="5" s="1"/>
  <c r="H17" i="27"/>
  <c r="H18" i="27"/>
  <c r="J21" i="11"/>
  <c r="I22" i="11"/>
  <c r="J22" i="11"/>
  <c r="F26" i="17" l="1"/>
  <c r="F25" i="17"/>
  <c r="H25" i="17"/>
  <c r="H26" i="17"/>
  <c r="F19" i="19"/>
  <c r="F18" i="19"/>
  <c r="K21" i="11"/>
  <c r="L21" i="11" s="1"/>
  <c r="K22" i="11"/>
  <c r="L22" i="11" s="1"/>
  <c r="D43" i="29"/>
  <c r="F43" i="29" s="1"/>
  <c r="F42" i="29"/>
  <c r="J18" i="19" l="1"/>
  <c r="D22" i="20"/>
  <c r="D23" i="20"/>
  <c r="G27" i="8"/>
  <c r="G26" i="8"/>
  <c r="I26" i="19" l="1"/>
  <c r="I25" i="19"/>
  <c r="J26" i="19"/>
  <c r="J25" i="19"/>
  <c r="A20" i="11"/>
  <c r="C21" i="20" l="1"/>
  <c r="B21" i="20"/>
  <c r="A21" i="20"/>
  <c r="C17" i="19"/>
  <c r="B17" i="19"/>
  <c r="A17" i="19"/>
  <c r="C16" i="12"/>
  <c r="I16" i="12" s="1"/>
  <c r="A16" i="12"/>
  <c r="B17" i="5"/>
  <c r="H17" i="5" s="1"/>
  <c r="A17" i="5"/>
  <c r="D15" i="8"/>
  <c r="C16" i="25" l="1"/>
  <c r="B16" i="25"/>
  <c r="C15" i="8"/>
  <c r="B15" i="8"/>
  <c r="A15" i="8"/>
  <c r="C16" i="27"/>
  <c r="B16" i="27"/>
  <c r="A16" i="27"/>
  <c r="C16" i="17"/>
  <c r="B16" i="17"/>
  <c r="A16" i="17"/>
  <c r="C18" i="14" l="1"/>
  <c r="B18" i="14"/>
  <c r="A18" i="14"/>
  <c r="B20" i="11" l="1"/>
  <c r="C22" i="29"/>
  <c r="C41" i="29" s="1"/>
  <c r="B22" i="29"/>
  <c r="B41" i="29" s="1"/>
  <c r="A22" i="29"/>
  <c r="A41" i="29" s="1"/>
  <c r="G64" i="10" l="1"/>
  <c r="B57" i="29"/>
  <c r="I27" i="27"/>
  <c r="G27" i="27"/>
  <c r="E27" i="27"/>
  <c r="I26" i="27"/>
  <c r="G26" i="27"/>
  <c r="E26" i="27"/>
  <c r="K16" i="27"/>
  <c r="D16" i="27"/>
  <c r="J16" i="27" s="1"/>
  <c r="K24" i="27" l="1"/>
  <c r="K25" i="27"/>
  <c r="J24" i="27"/>
  <c r="J25" i="27"/>
  <c r="D48" i="10"/>
  <c r="K27" i="27"/>
  <c r="G16" i="38" s="1"/>
  <c r="K26" i="27"/>
  <c r="G15" i="38" s="1"/>
  <c r="F16" i="27"/>
  <c r="H16" i="27"/>
  <c r="F24" i="27" l="1"/>
  <c r="F25" i="27"/>
  <c r="H25" i="27"/>
  <c r="H24" i="27"/>
  <c r="J27" i="27"/>
  <c r="J26" i="27"/>
  <c r="F27" i="27"/>
  <c r="F26" i="27"/>
  <c r="H27" i="27"/>
  <c r="H26" i="27"/>
  <c r="I28" i="17" l="1"/>
  <c r="I27" i="17"/>
  <c r="G31" i="10" l="1"/>
  <c r="I16" i="25"/>
  <c r="J16" i="25" l="1"/>
  <c r="I25" i="25"/>
  <c r="I24" i="25"/>
  <c r="J27" i="25"/>
  <c r="J26" i="25"/>
  <c r="I27" i="25"/>
  <c r="I26" i="25"/>
  <c r="F16" i="25"/>
  <c r="H28" i="19"/>
  <c r="G28" i="19"/>
  <c r="H27" i="19"/>
  <c r="G27" i="19"/>
  <c r="D17" i="19"/>
  <c r="G28" i="17"/>
  <c r="G27" i="17"/>
  <c r="D16" i="17"/>
  <c r="J16" i="17" s="1"/>
  <c r="E28" i="17"/>
  <c r="E27" i="17"/>
  <c r="H30" i="14"/>
  <c r="H29" i="14"/>
  <c r="I27" i="8"/>
  <c r="I26" i="8"/>
  <c r="H20" i="11"/>
  <c r="C17" i="5"/>
  <c r="D23" i="10"/>
  <c r="H33" i="5"/>
  <c r="D56" i="10" s="1"/>
  <c r="F56" i="10" s="1"/>
  <c r="G33" i="5"/>
  <c r="D16" i="12"/>
  <c r="J16" i="12" s="1"/>
  <c r="I17" i="5" l="1"/>
  <c r="L17" i="5" s="1"/>
  <c r="J26" i="17"/>
  <c r="J25" i="17"/>
  <c r="G16" i="25"/>
  <c r="G27" i="25" s="1"/>
  <c r="F25" i="25"/>
  <c r="F24" i="25"/>
  <c r="J25" i="25"/>
  <c r="J24" i="25"/>
  <c r="G26" i="25"/>
  <c r="J28" i="17"/>
  <c r="J27" i="17"/>
  <c r="L16" i="12"/>
  <c r="F27" i="25"/>
  <c r="F26" i="25"/>
  <c r="F16" i="12"/>
  <c r="L27" i="5" l="1"/>
  <c r="L26" i="5"/>
  <c r="L25" i="12"/>
  <c r="L26" i="12"/>
  <c r="G24" i="25"/>
  <c r="G25" i="25"/>
  <c r="G16" i="12"/>
  <c r="F26" i="12"/>
  <c r="F25" i="12"/>
  <c r="F17" i="19"/>
  <c r="F27" i="17"/>
  <c r="F28" i="17"/>
  <c r="H27" i="17"/>
  <c r="H28" i="17"/>
  <c r="G27" i="12"/>
  <c r="F28" i="12"/>
  <c r="F27" i="12"/>
  <c r="M16" i="12"/>
  <c r="G28" i="12"/>
  <c r="D21" i="20" l="1"/>
  <c r="F26" i="19"/>
  <c r="F25" i="19"/>
  <c r="M25" i="12"/>
  <c r="M26" i="12"/>
  <c r="G26" i="12"/>
  <c r="G25" i="12"/>
  <c r="H32" i="20"/>
  <c r="H31" i="20"/>
  <c r="L28" i="12"/>
  <c r="L27" i="12"/>
  <c r="F28" i="19"/>
  <c r="F27" i="19"/>
  <c r="M28" i="12"/>
  <c r="M27" i="12"/>
  <c r="J28" i="19" l="1"/>
  <c r="J27" i="19"/>
  <c r="I28" i="19"/>
  <c r="I27" i="19"/>
  <c r="J29" i="5"/>
  <c r="J28" i="5"/>
  <c r="J20" i="11"/>
  <c r="I20" i="11"/>
  <c r="F58" i="10"/>
  <c r="F25" i="10"/>
  <c r="C25" i="10"/>
  <c r="F23" i="10"/>
  <c r="C23" i="10"/>
  <c r="K20" i="11" l="1"/>
  <c r="L20" i="11" s="1"/>
  <c r="G25" i="10"/>
  <c r="C27" i="10"/>
  <c r="C60" i="10"/>
  <c r="G23" i="10"/>
  <c r="G56" i="10"/>
  <c r="G58" i="10"/>
  <c r="L30" i="11" l="1"/>
  <c r="L29" i="11"/>
  <c r="D41" i="29"/>
  <c r="E41" i="29"/>
  <c r="L31" i="11"/>
  <c r="L32" i="11"/>
  <c r="G27" i="10"/>
  <c r="G60" i="10"/>
  <c r="F41" i="29" l="1"/>
  <c r="M17" i="5"/>
  <c r="L28" i="5"/>
  <c r="L29" i="5"/>
  <c r="M26" i="5" l="1"/>
  <c r="M27" i="5"/>
  <c r="F49" i="29"/>
  <c r="D57" i="29" s="1"/>
  <c r="M29" i="5"/>
  <c r="M28" i="5"/>
  <c r="E17" i="5" l="1"/>
  <c r="E27" i="5" l="1"/>
  <c r="E26" i="5"/>
  <c r="C23" i="7"/>
  <c r="C56" i="29" s="1"/>
  <c r="C25" i="7"/>
  <c r="C57" i="29" s="1"/>
  <c r="E57" i="29" s="1"/>
  <c r="D25" i="7" l="1"/>
  <c r="J26" i="8" l="1"/>
  <c r="J27" i="8" l="1"/>
  <c r="E17" i="19" l="1"/>
  <c r="D22" i="29"/>
  <c r="F22" i="29" s="1"/>
  <c r="F30" i="29" s="1"/>
  <c r="D56" i="29" s="1"/>
  <c r="E56" i="29" s="1"/>
  <c r="E58" i="29" s="1"/>
  <c r="J49" i="3" l="1"/>
  <c r="K50" i="3"/>
  <c r="E28" i="5" l="1"/>
  <c r="K49" i="3"/>
  <c r="E29" i="5"/>
  <c r="J50" i="3"/>
  <c r="F17" i="5"/>
  <c r="F28" i="5" l="1"/>
  <c r="F27" i="5"/>
  <c r="F26" i="5"/>
  <c r="F23" i="7"/>
  <c r="G23" i="7" s="1"/>
  <c r="F29" i="5"/>
  <c r="C27" i="7"/>
  <c r="F25" i="7"/>
  <c r="G25" i="7" s="1"/>
  <c r="G2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rev4175</author>
    <author>rev4440</author>
    <author>Moss, Brittney (DOR)</author>
    <author>rev3569</author>
    <author>rev3857</author>
    <author>REVT221</author>
    <author>K Reaves</author>
  </authors>
  <commentList>
    <comment ref="G22" authorId="0" shapeId="0" xr:uid="{38204BF1-6B7C-46CD-8D4A-B562506B373B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2" authorId="1" shapeId="0" xr:uid="{5696D6EA-D205-48B4-A244-1169D0A1D3CB}">
      <text>
        <r>
          <rPr>
            <sz val="9"/>
            <color indexed="81"/>
            <rFont val="Tahoma"/>
            <family val="2"/>
          </rPr>
          <t>Page 52 of PDF, 10-K</t>
        </r>
      </text>
    </comment>
    <comment ref="J22" authorId="1" shapeId="0" xr:uid="{8BDE7BBF-0985-44BA-BB69-CC0095BE4AB9}">
      <text>
        <r>
          <rPr>
            <sz val="9"/>
            <color indexed="81"/>
            <rFont val="Tahoma"/>
            <family val="2"/>
          </rPr>
          <t>Page 52 of PDF, 10-K</t>
        </r>
      </text>
    </comment>
    <comment ref="G23" authorId="0" shapeId="0" xr:uid="{466909C0-2AE7-4A4B-AF1B-54AD5CA89315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3" authorId="1" shapeId="0" xr:uid="{63BE37C7-6635-452B-B812-B0944254FFB9}">
      <text>
        <r>
          <rPr>
            <sz val="9"/>
            <color indexed="81"/>
            <rFont val="Tahoma"/>
            <family val="2"/>
          </rPr>
          <t>Page 60 of PDF, 10-K</t>
        </r>
      </text>
    </comment>
    <comment ref="J23" authorId="1" shapeId="0" xr:uid="{26930394-3CD3-48A5-A333-9C03874275C6}">
      <text>
        <r>
          <rPr>
            <sz val="9"/>
            <color indexed="81"/>
            <rFont val="Tahoma"/>
            <family val="2"/>
          </rPr>
          <t>Page 60 of PDF, 10-K</t>
        </r>
      </text>
    </comment>
    <comment ref="G24" authorId="0" shapeId="0" xr:uid="{D58DDE1F-1456-4899-967B-50407930A568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4" authorId="0" shapeId="0" xr:uid="{7620B3CC-986D-4414-870B-DB36BD3AE22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85 of pdf</t>
        </r>
      </text>
    </comment>
    <comment ref="J24" authorId="0" shapeId="0" xr:uid="{63C3C7ED-C3F4-4274-B2C2-DFE37183AE4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85 of pdf</t>
        </r>
      </text>
    </comment>
    <comment ref="G25" authorId="0" shapeId="0" xr:uid="{548176A5-4E2A-4AF8-AAA7-1CADCBB4CD29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5" authorId="2" shapeId="0" xr:uid="{79E12B01-82B8-4D02-BBE2-98032971885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J25" authorId="2" shapeId="0" xr:uid="{7A7FE6F9-2CD1-4490-92D3-42BC7A76F7B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G26" authorId="0" shapeId="0" xr:uid="{946CC068-C604-4A99-9080-2125587E15A8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6" authorId="1" shapeId="0" xr:uid="{5DD74D8F-A8CC-486F-A2D0-5B3B63070CDC}">
      <text>
        <r>
          <rPr>
            <sz val="11"/>
            <color indexed="81"/>
            <rFont val="Tahoma"/>
            <family val="2"/>
          </rPr>
          <t>10K PG 63 of pdf</t>
        </r>
      </text>
    </comment>
    <comment ref="J26" authorId="1" shapeId="0" xr:uid="{4E8051B8-229B-44FD-B84E-2C4B0C4FA728}">
      <text>
        <r>
          <rPr>
            <sz val="11"/>
            <color indexed="81"/>
            <rFont val="Tahoma"/>
            <family val="2"/>
          </rPr>
          <t>10K PG 63 of pdf</t>
        </r>
      </text>
    </comment>
    <comment ref="G27" authorId="0" shapeId="0" xr:uid="{57835FF4-AF85-43CC-83D5-F3D9AB4E953E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7" authorId="1" shapeId="0" xr:uid="{8B925B1F-F1E3-45A2-B7FD-7461A9DF6B2B}">
      <text>
        <r>
          <rPr>
            <sz val="9"/>
            <color indexed="81"/>
            <rFont val="Tahoma"/>
            <family val="2"/>
          </rPr>
          <t>Page 49 of PDF, 10-K</t>
        </r>
      </text>
    </comment>
    <comment ref="J27" authorId="1" shapeId="0" xr:uid="{58D41B49-A945-461C-A674-0347924E940C}">
      <text>
        <r>
          <rPr>
            <sz val="9"/>
            <color indexed="81"/>
            <rFont val="Tahoma"/>
            <family val="2"/>
          </rPr>
          <t>Page 49 of PDF, 10-K</t>
        </r>
      </text>
    </comment>
    <comment ref="G28" authorId="0" shapeId="0" xr:uid="{FD3155C4-9D6C-44A4-84D5-7723070AF8AB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8" authorId="2" shapeId="0" xr:uid="{336B5845-50D7-4C0D-89ED-CD2BF841FE3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  <comment ref="J28" authorId="2" shapeId="0" xr:uid="{49D54EE6-882D-4A79-8F6B-1777F06C4EE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  <comment ref="G29" authorId="0" shapeId="0" xr:uid="{17D95115-30E7-45F9-850C-4C77AEB46354}">
      <text>
        <r>
          <rPr>
            <b/>
            <sz val="9"/>
            <color indexed="81"/>
            <rFont val="Tahoma"/>
            <family val="2"/>
          </rPr>
          <t xml:space="preserve">rev4175:Valueline 12/31/2024 Close
</t>
        </r>
      </text>
    </comment>
    <comment ref="H29" authorId="1" shapeId="0" xr:uid="{9EE19F4E-C036-4285-9ED7-35BDB5F36F3B}">
      <text>
        <r>
          <rPr>
            <sz val="9"/>
            <color indexed="81"/>
            <rFont val="Tahoma"/>
            <family val="2"/>
          </rPr>
          <t>10K PG 58 of pdf</t>
        </r>
      </text>
    </comment>
    <comment ref="J29" authorId="1" shapeId="0" xr:uid="{14AA591B-3ADE-424C-BA08-A5B6ECB913ED}">
      <text>
        <r>
          <rPr>
            <sz val="9"/>
            <color indexed="81"/>
            <rFont val="Tahoma"/>
            <family val="2"/>
          </rPr>
          <t>10K PG 58 of pdf</t>
        </r>
      </text>
    </comment>
    <comment ref="F35" authorId="3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G35" authorId="3" shapeId="0" xr:uid="{157F52C5-AB9A-44F3-B5D3-8E570A7018DA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H39" authorId="4" shapeId="0" xr:uid="{325B7CAB-8A56-45FA-AD10-A0426E973571}">
      <text>
        <r>
          <rPr>
            <sz val="9"/>
            <color indexed="81"/>
            <rFont val="Tahoma"/>
            <family val="2"/>
          </rPr>
          <t>10K PG 67 NOTE 4</t>
        </r>
      </text>
    </comment>
    <comment ref="H40" authorId="5" shapeId="0" xr:uid="{92B9430F-FCDD-4D78-B27E-CCF25AD5B410}">
      <text>
        <r>
          <rPr>
            <sz val="9"/>
            <color indexed="81"/>
            <rFont val="Tahoma"/>
            <family val="2"/>
          </rPr>
          <t>10K PG  83 of pdf  NOTE 9 FAIR VALUE MEASURMENTS</t>
        </r>
      </text>
    </comment>
    <comment ref="H41" authorId="5" shapeId="0" xr:uid="{276B93EC-57E4-4B58-9B21-C2C9458B01AD}">
      <text>
        <r>
          <rPr>
            <sz val="9"/>
            <color indexed="81"/>
            <rFont val="Tahoma"/>
            <family val="2"/>
          </rPr>
          <t>10K PG 111 of pdf  NOTE 7 FAIR VALUE MEASURMENTS</t>
        </r>
      </text>
    </comment>
    <comment ref="H42" authorId="5" shapeId="0" xr:uid="{C669DC02-387B-46CA-B336-16542E9504DE}">
      <text>
        <r>
          <rPr>
            <sz val="11"/>
            <color indexed="81"/>
            <rFont val="Tahoma"/>
            <family val="2"/>
          </rPr>
          <t>10K PG 75 of pdf  NOTE 6 FAIR VALUE OF DEBT</t>
        </r>
      </text>
    </comment>
    <comment ref="H43" authorId="4" shapeId="0" xr:uid="{1D35745E-8793-4FD0-A5E9-61BB682752E1}">
      <text>
        <r>
          <rPr>
            <sz val="9"/>
            <color indexed="81"/>
            <rFont val="Tahoma"/>
            <family val="2"/>
          </rPr>
          <t>10K PG 81 of pdf  NOTE 3 FAIR VALUE OF DEBT</t>
        </r>
      </text>
    </comment>
    <comment ref="H44" authorId="2" shapeId="0" xr:uid="{283E9F78-D6BC-4490-86FC-5AB3798460F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66 of pdf NOTE 3</t>
        </r>
      </text>
    </comment>
    <comment ref="H45" authorId="2" shapeId="0" xr:uid="{83F81CE7-0730-464D-AD8B-CA7811E8150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10K PG 127 of pdf  NOTE 11 FAIR VALUE MEASUREMENTS
</t>
        </r>
      </text>
    </comment>
    <comment ref="H46" authorId="4" shapeId="0" xr:uid="{36180BEF-B7CA-4C78-9327-511859D784FC}">
      <text>
        <r>
          <rPr>
            <sz val="9"/>
            <color indexed="81"/>
            <rFont val="Tahoma"/>
            <family val="2"/>
          </rPr>
          <t>10K PG 82 NOTE 9 FAIR VALUE MEASURMENTS</t>
        </r>
      </text>
    </comment>
    <comment ref="F70" authorId="2" shapeId="0" xr:uid="{82C173E8-448A-4995-BF8A-0A6B04D7216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56 of pdf</t>
        </r>
      </text>
    </comment>
    <comment ref="G70" authorId="2" shapeId="0" xr:uid="{D88F9087-41AF-4BEE-95D8-D83421E639D3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71 of pdf</t>
        </r>
      </text>
    </comment>
    <comment ref="H70" authorId="0" shapeId="0" xr:uid="{F50363F6-728B-4E65-9619-D7E29E82809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10k page 71 of pdf
Used operating lease liability amount because all the future payment amounts were for "Capitalized Operating Leases.</t>
        </r>
      </text>
    </comment>
    <comment ref="I70" authorId="6" shapeId="0" xr:uid="{04345B76-724C-4539-A053-A5D699543705}">
      <text>
        <r>
          <rPr>
            <sz val="9"/>
            <color indexed="81"/>
            <rFont val="Tahoma"/>
            <family val="2"/>
          </rPr>
          <t>10K PG 71 of pdf  NOTE 6 LEASES</t>
        </r>
      </text>
    </comment>
    <comment ref="F71" authorId="1" shapeId="0" xr:uid="{EAADBA88-9BA3-4C54-8352-209B007AF5D8}">
      <text>
        <r>
          <rPr>
            <sz val="9"/>
            <color indexed="81"/>
            <rFont val="Tahoma"/>
            <family val="2"/>
          </rPr>
          <t>Page 60 of PDF, 10-K</t>
        </r>
      </text>
    </comment>
    <comment ref="G71" authorId="1" shapeId="0" xr:uid="{499C9135-EC28-485D-95E9-A474B48D47BB}">
      <text>
        <r>
          <rPr>
            <sz val="9"/>
            <color indexed="81"/>
            <rFont val="Tahoma"/>
            <family val="2"/>
          </rPr>
          <t>Page 60 of PDF, 10-K</t>
        </r>
      </text>
    </comment>
    <comment ref="H71" authorId="1" shapeId="0" xr:uid="{F8FD6C7E-2D0F-4969-9BBC-04E763927489}">
      <text>
        <r>
          <rPr>
            <sz val="9"/>
            <color indexed="81"/>
            <rFont val="Tahoma"/>
            <family val="2"/>
          </rPr>
          <t>Page 60 of PDF, 10-K</t>
        </r>
      </text>
    </comment>
    <comment ref="I71" authorId="6" shapeId="0" xr:uid="{134B3B0F-F08C-4FCD-AB16-7DB5ADC2EA0A}">
      <text>
        <r>
          <rPr>
            <sz val="9"/>
            <color indexed="81"/>
            <rFont val="Tahoma"/>
            <family val="2"/>
          </rPr>
          <t xml:space="preserve">10K PG 79 of pdf Note 7
</t>
        </r>
      </text>
    </comment>
    <comment ref="F72" authorId="6" shapeId="0" xr:uid="{34C1772F-496A-48DE-B83A-4B31A3BF6173}">
      <text>
        <r>
          <rPr>
            <sz val="9"/>
            <color indexed="81"/>
            <rFont val="Tahoma"/>
            <family val="2"/>
          </rPr>
          <t>10K PG 85 of pdf</t>
        </r>
      </text>
    </comment>
    <comment ref="G72" authorId="0" shapeId="0" xr:uid="{45686CC9-7293-41FA-8AD5-464E155B9B88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85 of pdf</t>
        </r>
      </text>
    </comment>
    <comment ref="H72" authorId="0" shapeId="0" xr:uid="{73107664-4240-461B-8ED7-9089A7ECD0C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85 of pdf</t>
        </r>
      </text>
    </comment>
    <comment ref="I72" authorId="6" shapeId="0" xr:uid="{C0BEC853-FD64-4A67-9921-236F86EF5B28}">
      <text>
        <r>
          <rPr>
            <sz val="9"/>
            <color indexed="81"/>
            <rFont val="Tahoma"/>
            <family val="2"/>
          </rPr>
          <t>10K PG 106 of pdf  NOTE 5</t>
        </r>
      </text>
    </comment>
    <comment ref="F73" authorId="2" shapeId="0" xr:uid="{91C3A6F7-B29C-4E53-9002-80E466BF035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G73" authorId="2" shapeId="0" xr:uid="{5F612DAE-452D-4D4A-B78C-53F87F3EC05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H73" authorId="2" shapeId="0" xr:uid="{87212DFE-3329-4389-9387-C4760C6771B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I73" authorId="2" shapeId="0" xr:uid="{43CBC251-16B4-4348-8F2A-AA267E05BB6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10K PG 56 STATEMENT OF OPERATIONS LANDING FEES AND OTHER RENTS</t>
        </r>
      </text>
    </comment>
    <comment ref="F74" authorId="6" shapeId="0" xr:uid="{01895886-EB76-49E8-B4C7-D1CDDEFFF403}">
      <text>
        <r>
          <rPr>
            <sz val="9"/>
            <color indexed="81"/>
            <rFont val="Tahoma"/>
            <family val="2"/>
          </rPr>
          <t xml:space="preserve">10K PG 62 of pdf
</t>
        </r>
      </text>
    </comment>
    <comment ref="G74" authorId="6" shapeId="0" xr:uid="{B11E9B58-0250-44D0-82E4-1FE3340DF3F5}">
      <text>
        <r>
          <rPr>
            <sz val="9"/>
            <color indexed="81"/>
            <rFont val="Tahoma"/>
            <family val="2"/>
          </rPr>
          <t xml:space="preserve">10K PG 63 of pdf
</t>
        </r>
      </text>
    </comment>
    <comment ref="H74" authorId="6" shapeId="0" xr:uid="{5C0BE9BE-514D-426A-AE8D-2944E37FBEBC}">
      <text>
        <r>
          <rPr>
            <sz val="9"/>
            <color indexed="81"/>
            <rFont val="Tahoma"/>
            <family val="2"/>
          </rPr>
          <t xml:space="preserve">10K PG 63 of pdf
</t>
        </r>
      </text>
    </comment>
    <comment ref="I74" authorId="2" shapeId="0" xr:uid="{A926C2E1-6469-4A50-8DF6-70891D22B7C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83  of pdf NOTE 4</t>
        </r>
      </text>
    </comment>
    <comment ref="F75" authorId="6" shapeId="0" xr:uid="{D9ED828D-9940-407B-A11D-F4A251E01887}">
      <text>
        <r>
          <rPr>
            <sz val="9"/>
            <color indexed="81"/>
            <rFont val="Tahoma"/>
            <family val="2"/>
          </rPr>
          <t>10K PG 48 of pdf</t>
        </r>
      </text>
    </comment>
    <comment ref="G75" authorId="6" shapeId="0" xr:uid="{FD079ACF-160E-451C-B2D6-24D3A54126B8}">
      <text>
        <r>
          <rPr>
            <sz val="9"/>
            <color indexed="81"/>
            <rFont val="Tahoma"/>
            <family val="2"/>
          </rPr>
          <t>10K PG 49 of pdf</t>
        </r>
      </text>
    </comment>
    <comment ref="H75" authorId="6" shapeId="0" xr:uid="{019B9932-0F52-4FB4-BA60-7D9E448AA80A}">
      <text>
        <r>
          <rPr>
            <sz val="9"/>
            <color indexed="81"/>
            <rFont val="Tahoma"/>
            <family val="2"/>
          </rPr>
          <t>10K PG 49 of pdf</t>
        </r>
      </text>
    </comment>
    <comment ref="I75" authorId="6" shapeId="0" xr:uid="{B4BF4E2E-F79B-482F-AFCA-A1BF4448258C}">
      <text>
        <r>
          <rPr>
            <sz val="9"/>
            <color indexed="81"/>
            <rFont val="Tahoma"/>
            <family val="2"/>
          </rPr>
          <t>10K PG 70 of pdf NOTE 6</t>
        </r>
      </text>
    </comment>
    <comment ref="F76" authorId="2" shapeId="0" xr:uid="{03DFB519-FE93-4720-BD66-4DA05C95A7D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  <comment ref="G76" authorId="2" shapeId="0" xr:uid="{8C0F0738-D197-4B90-8825-D2F3C86D058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  <comment ref="H76" authorId="2" shapeId="0" xr:uid="{944E96C6-3828-4663-AE86-DD3F071CB19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  <comment ref="I76" authorId="2" shapeId="0" xr:uid="{04E92D4B-390E-4612-A142-C9A897B9423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113 of pdf</t>
        </r>
      </text>
    </comment>
    <comment ref="F77" authorId="1" shapeId="0" xr:uid="{8F4EF057-7073-42DE-B3DB-410DB8CFF541}">
      <text>
        <r>
          <rPr>
            <sz val="9"/>
            <color indexed="81"/>
            <rFont val="Tahoma"/>
            <family val="2"/>
          </rPr>
          <t>10K PG 58 of pdf</t>
        </r>
      </text>
    </comment>
    <comment ref="G77" authorId="1" shapeId="0" xr:uid="{51C93729-CD60-4ABF-96FF-7E4BC774E42E}">
      <text>
        <r>
          <rPr>
            <sz val="9"/>
            <color indexed="81"/>
            <rFont val="Tahoma"/>
            <family val="2"/>
          </rPr>
          <t>10K PG 58 of pdf</t>
        </r>
      </text>
    </comment>
    <comment ref="H77" authorId="1" shapeId="0" xr:uid="{3C7B8B2F-1B80-4842-9ED6-BB7A0D7AB800}">
      <text>
        <r>
          <rPr>
            <sz val="9"/>
            <color indexed="81"/>
            <rFont val="Tahoma"/>
            <family val="2"/>
          </rPr>
          <t>10K PG 58 of pdf</t>
        </r>
      </text>
    </comment>
    <comment ref="I77" authorId="2" shapeId="0" xr:uid="{15D67682-218C-4FE4-8DFD-F35253906CC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56 of pdf
 STATEMENT OF OP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Baker, Mike A (DOR)</author>
    <author>Moss, Brittney (DOR)</author>
    <author>rev4279</author>
  </authors>
  <commentList>
    <comment ref="E22" authorId="0" shapeId="0" xr:uid="{CA692DE4-4028-4613-91F2-44BDB511227B}">
      <text>
        <r>
          <rPr>
            <sz val="9"/>
            <color indexed="81"/>
            <rFont val="Tahoma"/>
            <family val="2"/>
          </rPr>
          <t xml:space="preserve">
10K page 52 of pdf</t>
        </r>
      </text>
    </comment>
    <comment ref="E23" authorId="1" shapeId="0" xr:uid="{98495572-2D4E-44AE-B0CC-BE1254CB766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60 of pdf</t>
        </r>
      </text>
    </comment>
    <comment ref="E24" authorId="0" shapeId="0" xr:uid="{11CA3627-CFC1-4CE3-9640-92C9BD17DC2B}">
      <text>
        <r>
          <rPr>
            <sz val="9"/>
            <color indexed="81"/>
            <rFont val="Tahoma"/>
            <family val="2"/>
          </rPr>
          <t>10K page 85</t>
        </r>
      </text>
    </comment>
    <comment ref="E25" authorId="1" shapeId="0" xr:uid="{4D800C6F-7FD8-4D37-B05F-77228CD5E76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E26" authorId="1" shapeId="0" xr:uid="{60DFF4DB-82EB-4697-A4BE-BF96B3892EF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63 </t>
        </r>
      </text>
    </comment>
    <comment ref="E27" authorId="2" shapeId="0" xr:uid="{C98106C2-0F22-4F87-8DEB-AD64D60119AA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49</t>
        </r>
      </text>
    </comment>
    <comment ref="E28" authorId="2" shapeId="0" xr:uid="{03A58F92-EAC7-439E-954E-EDD0B8A0ED63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  <comment ref="E29" authorId="2" shapeId="0" xr:uid="{7BE05D0C-38AF-4182-82BC-BF030CE6A308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  <author>rev4279</author>
  </authors>
  <commentList>
    <comment ref="D20" authorId="0" shapeId="0" xr:uid="{4F908245-9C71-4A1C-B846-95E87908BC4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52</t>
        </r>
      </text>
    </comment>
    <comment ref="E20" authorId="0" shapeId="0" xr:uid="{2A119719-3646-4B62-AB7E-4E69797D87CA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52</t>
        </r>
      </text>
    </comment>
    <comment ref="G20" authorId="0" shapeId="0" xr:uid="{2CE5E9AA-1CCF-47BB-8F5E-B23D6D459C8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53 of pdf</t>
        </r>
      </text>
    </comment>
    <comment ref="D21" authorId="1" shapeId="0" xr:uid="{A4977C29-9AA1-4DE3-9D3F-0FBF572B312C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71 NOTE 5</t>
        </r>
      </text>
    </comment>
    <comment ref="E21" authorId="1" shapeId="0" xr:uid="{C5BAF483-5DBD-4F4D-B184-55A99DD6E472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71 NOTE 5</t>
        </r>
      </text>
    </comment>
    <comment ref="G21" authorId="0" shapeId="0" xr:uid="{87F1521C-20C0-469A-8C38-B60E9195947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61 of pdf</t>
        </r>
      </text>
    </comment>
    <comment ref="D22" authorId="1" shapeId="0" xr:uid="{54A24C91-C59A-48C9-9A1F-A3E5604FEC40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85 of pdf
</t>
        </r>
      </text>
    </comment>
    <comment ref="E22" authorId="1" shapeId="0" xr:uid="{8C6516B7-C4B7-47DB-9D28-458F1AC47CEB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84
</t>
        </r>
      </text>
    </comment>
    <comment ref="G22" authorId="0" shapeId="0" xr:uid="{092C64B5-A749-4B2E-A5A1-D95AA766242B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86 of pdf</t>
        </r>
      </text>
    </comment>
    <comment ref="D23" authorId="1" shapeId="0" xr:uid="{EB4684D4-69BE-4239-84CC-85DF64D053F7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58 of pdf</t>
        </r>
      </text>
    </comment>
    <comment ref="E23" authorId="1" shapeId="0" xr:uid="{7BDA2100-5D67-4E5A-BEA0-D3D1E6C0DF61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65</t>
        </r>
      </text>
    </comment>
    <comment ref="G23" authorId="1" shapeId="0" xr:uid="{4BFA4531-A51C-4989-9D9D-4859C6DF51DB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59 of pdf</t>
        </r>
      </text>
    </comment>
    <comment ref="D24" authorId="1" shapeId="0" xr:uid="{4609B879-B9B9-4746-BDE3-36D6EE1C2273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62
</t>
        </r>
      </text>
    </comment>
    <comment ref="E24" authorId="1" shapeId="0" xr:uid="{29643265-BF40-4E4D-B501-251EDCED7D45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62
</t>
        </r>
      </text>
    </comment>
    <comment ref="G24" authorId="0" shapeId="0" xr:uid="{6BB6864F-5A18-4093-BADE-FBD90BE0823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64</t>
        </r>
      </text>
    </comment>
    <comment ref="D25" authorId="1" shapeId="0" xr:uid="{223BAE4F-23CD-420D-ADCF-5BE1D25E954E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48</t>
        </r>
      </text>
    </comment>
    <comment ref="E25" authorId="1" shapeId="0" xr:uid="{ED1A2652-A2A0-4F33-87E0-F32FBCB9B33E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48</t>
        </r>
      </text>
    </comment>
    <comment ref="G25" authorId="1" shapeId="0" xr:uid="{10387142-1164-4674-8C8D-31502154F29C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50</t>
        </r>
      </text>
    </comment>
    <comment ref="D26" authorId="1" shapeId="0" xr:uid="{44966192-DA8F-4B41-A56E-51A52AC55084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87 of pdf</t>
        </r>
      </text>
    </comment>
    <comment ref="E26" authorId="1" shapeId="0" xr:uid="{725718E7-575D-4DE1-B16F-9EADF88D3F5D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98</t>
        </r>
      </text>
    </comment>
    <comment ref="G26" authorId="1" shapeId="0" xr:uid="{2675C724-CB81-4290-947F-D5C1AAED9D85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88 of pdf</t>
        </r>
      </text>
    </comment>
    <comment ref="D27" authorId="1" shapeId="0" xr:uid="{3F27CAE8-6F68-4131-A2C2-B485E9D6E513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67 of pdf</t>
        </r>
      </text>
    </comment>
    <comment ref="E27" authorId="1" shapeId="0" xr:uid="{9212146D-60A1-4A2F-98DC-342B79DA8414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66 NOTE 1</t>
        </r>
      </text>
    </comment>
    <comment ref="G27" authorId="1" shapeId="0" xr:uid="{ACE3B8D4-1E18-45A4-A463-0CD3EE4BCB42}">
      <text>
        <r>
          <rPr>
            <b/>
            <sz val="9"/>
            <color indexed="81"/>
            <rFont val="Tahoma"/>
            <family val="2"/>
          </rPr>
          <t>rev4279:</t>
        </r>
        <r>
          <rPr>
            <sz val="9"/>
            <color indexed="81"/>
            <rFont val="Tahoma"/>
            <family val="2"/>
          </rPr>
          <t xml:space="preserve">
10K PG 56 of pdf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</authors>
  <commentList>
    <comment ref="E20" authorId="0" shapeId="0" xr:uid="{B3A1CE11-1460-4E05-90F3-B39C620094A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DILUTED EARNINGS </t>
        </r>
      </text>
    </comment>
    <comment ref="G20" authorId="0" shapeId="0" xr:uid="{F0E1F8F2-379D-4844-88D2-24AD547AD88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DILUTED EARNINGS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Sheeks, David (DOR)</author>
  </authors>
  <commentList>
    <comment ref="H20" authorId="0" shapeId="0" xr:uid="{55E50DC3-B1CF-451A-9DB9-584333A595A1}">
      <text>
        <r>
          <rPr>
            <b/>
            <sz val="9"/>
            <color indexed="81"/>
            <rFont val="Tahoma"/>
            <family val="2"/>
          </rPr>
          <t>Sheeks, David (DOR):</t>
        </r>
        <r>
          <rPr>
            <sz val="9"/>
            <color indexed="81"/>
            <rFont val="Tahoma"/>
            <family val="2"/>
          </rPr>
          <t xml:space="preserve">
No ratings currently assigned by Moody's, S&amp;P or Mergent.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<sst xmlns="http://schemas.openxmlformats.org/spreadsheetml/2006/main" count="1544" uniqueCount="504">
  <si>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</si>
  <si>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</si>
  <si>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</si>
  <si>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</si>
  <si>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</si>
  <si>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</si>
  <si>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</si>
  <si>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</si>
  <si>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</si>
  <si>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</si>
  <si>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</si>
  <si>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</si>
  <si>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</si>
  <si>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</si>
  <si>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</si>
  <si>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</si>
  <si>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</si>
  <si>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</si>
  <si>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</si>
  <si>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</si>
  <si>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</si>
  <si>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</si>
  <si>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</si>
  <si>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</si>
  <si>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</si>
  <si>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</si>
  <si>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</si>
  <si>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</si>
  <si>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</si>
  <si>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</si>
  <si>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</si>
  <si>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</si>
  <si>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</si>
  <si>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</si>
  <si>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</si>
  <si>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</si>
  <si>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</si>
  <si>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</si>
  <si>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</si>
  <si>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</si>
  <si>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</si>
  <si>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</si>
  <si>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</si>
  <si>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A+</t>
  </si>
  <si>
    <t xml:space="preserve">  </t>
  </si>
  <si>
    <t>High</t>
  </si>
  <si>
    <t>Low</t>
  </si>
  <si>
    <t>Mergent Bond</t>
  </si>
  <si>
    <t>Rating</t>
  </si>
  <si>
    <t>Debt Rate</t>
  </si>
  <si>
    <t>S &amp; P</t>
  </si>
  <si>
    <t>% LT Debt &amp; Pref Stock</t>
  </si>
  <si>
    <t>Baa1</t>
  </si>
  <si>
    <t>Baa2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</si>
  <si>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</si>
  <si>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</si>
  <si>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</si>
  <si>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</si>
  <si>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</si>
  <si>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</si>
  <si>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</si>
  <si>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</si>
  <si>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</si>
  <si>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</si>
  <si>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</si>
  <si>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</si>
  <si>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</si>
  <si>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</si>
  <si>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</si>
  <si>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</si>
  <si>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</si>
  <si>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</si>
  <si>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</si>
  <si>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</si>
  <si>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</si>
  <si>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</si>
  <si>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</si>
  <si>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</si>
  <si>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</si>
  <si>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</si>
  <si>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</si>
  <si>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</si>
  <si>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</si>
  <si>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</si>
  <si>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</si>
  <si>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</si>
  <si>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</si>
  <si>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</si>
  <si>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</si>
  <si>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</si>
  <si>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</si>
  <si>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</si>
  <si>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</si>
  <si>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</si>
  <si>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</si>
  <si>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</si>
  <si>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</si>
  <si>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</si>
  <si>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</si>
  <si>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</si>
  <si>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</si>
  <si>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</si>
  <si>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</si>
  <si>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</si>
  <si>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</si>
  <si>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</si>
  <si>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</si>
  <si>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</si>
  <si>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</si>
  <si>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</si>
  <si>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</si>
  <si>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</si>
  <si>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</si>
  <si>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</si>
  <si>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</si>
  <si>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</si>
  <si>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</si>
  <si>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</si>
  <si>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</si>
  <si>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</si>
  <si>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</si>
  <si>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</si>
  <si>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</si>
  <si>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</si>
  <si>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</si>
  <si>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</si>
  <si>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</si>
  <si>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</si>
  <si>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</si>
  <si>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</si>
  <si>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</si>
  <si>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</si>
  <si>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</si>
  <si>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</si>
  <si>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</si>
  <si>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</si>
  <si>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</si>
  <si>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</si>
  <si>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</si>
  <si>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</si>
  <si>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</si>
  <si>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</si>
  <si>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</si>
  <si>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 xml:space="preserve">** Debt includes  LT Debt , Current portion of LT Debt, and Finance leases from 10K 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</si>
  <si>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</si>
  <si>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</si>
  <si>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</si>
  <si>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</si>
  <si>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</si>
  <si>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</si>
  <si>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</si>
  <si>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</si>
  <si>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</si>
  <si>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</si>
  <si>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</si>
  <si>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</si>
  <si>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</si>
  <si>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</si>
  <si>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</si>
  <si>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</si>
  <si>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</si>
  <si>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</si>
  <si>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Earnings</t>
  </si>
  <si>
    <t>Equity</t>
  </si>
  <si>
    <t>Equity Rate</t>
  </si>
  <si>
    <t>(F+G)</t>
  </si>
  <si>
    <t>(F+H)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</si>
  <si>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</si>
  <si>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</si>
  <si>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</si>
  <si>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</si>
  <si>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</si>
  <si>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</si>
  <si>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</si>
  <si>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</si>
  <si>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</si>
  <si>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</si>
  <si>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</si>
  <si>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</si>
  <si>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</si>
  <si>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</si>
  <si>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</si>
  <si>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>.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</si>
  <si>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</si>
  <si>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</si>
  <si>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</si>
  <si>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</si>
  <si>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</si>
  <si>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</si>
  <si>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</si>
  <si>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</si>
  <si>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</si>
  <si>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</si>
  <si>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</si>
  <si>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</si>
  <si>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</si>
  <si>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</si>
  <si>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</si>
  <si>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</si>
  <si>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</si>
  <si>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</si>
  <si>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</si>
  <si>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</si>
  <si>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</si>
  <si>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</si>
  <si>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</si>
  <si>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</si>
  <si>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</si>
  <si>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</si>
  <si>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</si>
  <si>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</si>
  <si>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</si>
  <si>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</si>
  <si>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</si>
  <si>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</si>
  <si>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</si>
  <si>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</si>
  <si>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</si>
  <si>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</si>
  <si>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</si>
  <si>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</si>
  <si>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</si>
  <si>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</si>
  <si>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</si>
  <si>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</si>
  <si>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</si>
  <si>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</si>
  <si>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</si>
  <si>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t>VL LT Projected NOI</t>
  </si>
  <si>
    <t>Indicated Rate of Debt &gt;</t>
  </si>
  <si>
    <t>Year End</t>
  </si>
  <si>
    <t>&amp; Finance Leases</t>
  </si>
  <si>
    <t>10K Income Statement</t>
  </si>
  <si>
    <t>10K Balance Sheet</t>
  </si>
  <si>
    <t>Indicated Rate of Equity Selected &gt;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</si>
  <si>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</si>
  <si>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</si>
  <si>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</si>
  <si>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</si>
  <si>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</si>
  <si>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</si>
  <si>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</si>
  <si>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</si>
  <si>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</si>
  <si>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</si>
  <si>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</si>
  <si>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</si>
  <si>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</si>
  <si>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</si>
  <si>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</si>
  <si>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</si>
  <si>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</si>
  <si>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</si>
  <si>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</si>
  <si>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</si>
  <si>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</si>
  <si>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</si>
  <si>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</si>
  <si>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</si>
  <si>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</si>
  <si>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</si>
  <si>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</si>
  <si>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</si>
  <si>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</si>
  <si>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</si>
  <si>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</si>
  <si>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</si>
  <si>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</si>
  <si>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</si>
  <si>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</si>
  <si>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</si>
  <si>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</si>
  <si>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</si>
  <si>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</si>
  <si>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</si>
  <si>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</si>
  <si>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</si>
  <si>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</si>
  <si>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</si>
  <si>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</si>
  <si>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</si>
  <si>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</si>
  <si>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</si>
  <si>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</si>
  <si>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</si>
  <si>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Companies excluded from the study &gt;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</si>
  <si>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</si>
  <si>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G   = Average growth rate</t>
  </si>
  <si>
    <t>G1 = Short term growth estimate</t>
  </si>
  <si>
    <t>DY = Dividend Yield     See ValueLine</t>
  </si>
  <si>
    <t>g   = Stable Growth - Nominal growth rate</t>
  </si>
  <si>
    <t>AA+</t>
  </si>
  <si>
    <t>AAA</t>
  </si>
  <si>
    <t>AA</t>
  </si>
  <si>
    <t>Obligations rated Aa are judged to be of high quality, with minimal risk.</t>
  </si>
  <si>
    <t>AA-</t>
  </si>
  <si>
    <t>BBB+</t>
  </si>
  <si>
    <t>BBB</t>
  </si>
  <si>
    <t>BBB-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</si>
  <si>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</si>
  <si>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</si>
  <si>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</si>
  <si>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</si>
  <si>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</si>
  <si>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</si>
  <si>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</si>
  <si>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</si>
  <si>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</si>
  <si>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</si>
  <si>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</si>
  <si>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Retained to Common Equity -- Net profit less all common and preferred dividends divided by common equity including intangible assets, expressed as a percentage.  Also known as the plowback ratio.</t>
  </si>
  <si>
    <t>Return on Shareholders Equity -- Annual net profit divided by year-end shareholders equity, expressed as a percentage.</t>
  </si>
  <si>
    <t>Ca1</t>
  </si>
  <si>
    <t>Ca2</t>
  </si>
  <si>
    <t>Ca3</t>
  </si>
  <si>
    <t>CC+</t>
  </si>
  <si>
    <t>CC-</t>
  </si>
  <si>
    <t>AAA-</t>
  </si>
  <si>
    <t>AAA+</t>
  </si>
  <si>
    <t>Aaa1</t>
  </si>
  <si>
    <t>Aaa2</t>
  </si>
  <si>
    <t>Aaa3</t>
  </si>
  <si>
    <t>Share</t>
  </si>
  <si>
    <t>Gross Revenues</t>
  </si>
  <si>
    <t>NOPAT Earnings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</si>
  <si>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</si>
  <si>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</si>
  <si>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The higher the return on revenue the higher the price to revenue will be.</t>
  </si>
  <si>
    <t>Cash flow is typically defined to be net income plus depreciation and amortization.</t>
  </si>
  <si>
    <t xml:space="preserve">This measure is considered relevant for companies with high non-cash charges reflected in the income statement.  Non-cash charges include depreciation &amp; amortization, goodwill impairments, asset write downs, </t>
  </si>
  <si>
    <t>stock based compensation, and deferred income taxes and investment tax credits.</t>
  </si>
  <si>
    <t>P/E Ratio - Long Term Projection NOPAT</t>
  </si>
  <si>
    <t>&amp; Op Leases</t>
  </si>
  <si>
    <t>Earnings Growth = DY + EG</t>
  </si>
  <si>
    <t>Dividend Growth = DY + DG</t>
  </si>
  <si>
    <t>EG = Earnings Growth</t>
  </si>
  <si>
    <t>DG = Dividend Growth</t>
  </si>
  <si>
    <t>DY = Dividend Yield</t>
  </si>
  <si>
    <t>G = Projected Growth (Earnings Per Share 5 Yr Growth Rate)</t>
  </si>
  <si>
    <t>G = Projected Growth (Div. 5 Yr Growth Rate)</t>
  </si>
  <si>
    <t>General Partner Units</t>
  </si>
  <si>
    <t>Gross Book Value Equity</t>
  </si>
  <si>
    <t>GROSS REVENUE &amp; GROSS BOOK (EQUITY) MULTIPLES</t>
  </si>
  <si>
    <t>Multiple *</t>
  </si>
  <si>
    <t>* This multiple is applicable to service type companies, or those with few assets.  These companies sell at prices related to their revenues.</t>
  </si>
  <si>
    <t>** The book value, or common equity, per share is total owners' equity minus preferred stock divided by the number of common shares outstanding.</t>
  </si>
  <si>
    <t>Projected</t>
  </si>
  <si>
    <t xml:space="preserve">Property, Plant &amp; Equipment includes CWIP, but should exclude intangibles and the associated amortization.  </t>
  </si>
  <si>
    <t>Common Total Equity excludes 'noncontrolling interests' equity value.</t>
  </si>
  <si>
    <t xml:space="preserve">http://www.federalreserve.gov/Releases/H15/Current/ </t>
  </si>
  <si>
    <t>Companies added to the study &gt;</t>
  </si>
  <si>
    <t>Per Share **</t>
  </si>
  <si>
    <t>Any difference between the lease liability value and lease asset value is prepayments, lease incentives, and/or other direct costs.</t>
  </si>
  <si>
    <t>Maintenance, real estate taxes,insurance and other operating expenses associated with the leases are excluded from the ROU measurement.</t>
  </si>
  <si>
    <t>Op Lease Expense</t>
  </si>
  <si>
    <t>ROU Values Assets</t>
  </si>
  <si>
    <t>ROU Values Liab.</t>
  </si>
  <si>
    <t>Air Passenger Carriers</t>
  </si>
  <si>
    <t xml:space="preserve">Alaska Air </t>
  </si>
  <si>
    <t>ALK</t>
  </si>
  <si>
    <t>AirTrans</t>
  </si>
  <si>
    <t xml:space="preserve">Allegiant Travel Co. </t>
  </si>
  <si>
    <t>ALGT</t>
  </si>
  <si>
    <t xml:space="preserve">American Airlines </t>
  </si>
  <si>
    <t>AAL</t>
  </si>
  <si>
    <t xml:space="preserve">Delta Air Lines </t>
  </si>
  <si>
    <t>DAL</t>
  </si>
  <si>
    <t xml:space="preserve">JetBlue Airways </t>
  </si>
  <si>
    <t>JBLU</t>
  </si>
  <si>
    <t>Skywest Inc</t>
  </si>
  <si>
    <t>SKYW</t>
  </si>
  <si>
    <t xml:space="preserve">Southwest Airlines </t>
  </si>
  <si>
    <t>LUV</t>
  </si>
  <si>
    <t>United Airlines Holdings Inc</t>
  </si>
  <si>
    <t>UAL</t>
  </si>
  <si>
    <t xml:space="preserve">COPA Holdings - </t>
  </si>
  <si>
    <t xml:space="preserve">Hawaiian Holdings - </t>
  </si>
  <si>
    <t>Projected 1 Yr</t>
  </si>
  <si>
    <t>Estimated 20-22 to 26-28</t>
  </si>
  <si>
    <t>Earnings Per Share Growth Rate</t>
  </si>
  <si>
    <t>na</t>
  </si>
  <si>
    <t xml:space="preserve">Risk Free Rate (Rf) </t>
  </si>
  <si>
    <t>Yield Equity Rate - DGM (Dividend Growth) &amp; DGM (Earnings Growth)  -- Gordon Growth</t>
  </si>
  <si>
    <t>Empirical CAPM - Ex Ante, Three Stage - V1</t>
  </si>
  <si>
    <t>Empirical CAPM - Ex Ante, Three Stage - V2</t>
  </si>
  <si>
    <t>CAPM - Ex Ante, Three Stage - V2</t>
  </si>
  <si>
    <t>CAPM - Ex Ante, Three Stage - V1</t>
  </si>
  <si>
    <t>Mean</t>
  </si>
  <si>
    <t>A market to book ratio over one would be an indication of no obsolescence.</t>
  </si>
  <si>
    <t xml:space="preserve">S&amp;P Rating 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</si>
  <si>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</si>
  <si>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</si>
  <si>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</si>
  <si>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Empirical CAPM - S&amp;P Global Market Intelligence</t>
  </si>
  <si>
    <t>Damodaran Implied ERP Ex Ante   Trailing 12 mo Cash Yield (3)</t>
  </si>
  <si>
    <t>Damodaran Implied ERP Ex Ante   Net Cash Yield (3)</t>
  </si>
  <si>
    <t>Damodaran Implied ERP Ex Ante   Norm. Earnings &amp; Payout (3)</t>
  </si>
  <si>
    <t>KROLL Ex Post  - ERP Historical (8)</t>
  </si>
  <si>
    <t>KROLL Ex Post - ERP Supply Side (8)</t>
  </si>
  <si>
    <t>KROLL Ex Ante - ERP Conditional (8)</t>
  </si>
  <si>
    <t>CAPM - Ex Ante  Damodaran 12 Mo Cash Yield</t>
  </si>
  <si>
    <t>CAPM - Ex Ante  Damodaran Net Cash Yield</t>
  </si>
  <si>
    <t>CAPM - Ex Ante  Damodaran NEP</t>
  </si>
  <si>
    <t>CAPM - Ex Post KROLL ERP Historical</t>
  </si>
  <si>
    <t>CAPM - Ex Post KROLL ERP Supply Side</t>
  </si>
  <si>
    <t>CAPM - Ex Ante KROLL ERP Conditional</t>
  </si>
  <si>
    <t>Empirical CAPM - Ex Ante  Damodaran 12 Mo Cash Yield</t>
  </si>
  <si>
    <t>Empirical CAPM - Ex Ante  Damodaran Net Cash Yield</t>
  </si>
  <si>
    <t>Empirical CAPM - Ex Ante  Damodaran NEP</t>
  </si>
  <si>
    <t>Empirical CAPM - Ex Post KROLL ERP Historical</t>
  </si>
  <si>
    <t>Empirical CAPM - Ex Post KROLL ERP Supply Side</t>
  </si>
  <si>
    <t>Empirical CAPM - Ex Ante KROLL ERP Conditional</t>
  </si>
  <si>
    <t>Damodaran Implied ERP Ex Ante   Avg CF Yield Last 10 Yrs (3)</t>
  </si>
  <si>
    <t>P. Fernandez, T. Garcia de Santos &amp; J.F.Acin  (5)</t>
  </si>
  <si>
    <t>CAPM - Ex Ante  Damodaran Avg CF Yield Last 10 Yrs</t>
  </si>
  <si>
    <t>Empirical CAPM - Ex Ante  Damodaran Avg CF Yield Last 10 Yrs</t>
  </si>
  <si>
    <t>CS+PS+OL+VL+LTD</t>
  </si>
  <si>
    <t>Variable Leases *****</t>
  </si>
  <si>
    <t>***** Market value of variable operating leases for all companies.</t>
  </si>
  <si>
    <t>**** Market value of operating leases for all companies.</t>
  </si>
  <si>
    <t>PV of future payments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</si>
  <si>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(LT 27-29 Yr Projected VL)</t>
    </r>
  </si>
  <si>
    <t>Corporate                          December Avg</t>
  </si>
  <si>
    <t>Utility                                                December Avg</t>
  </si>
  <si>
    <t>INFLATION (CPI) &amp; GROSS DOMESTIC PRODUCT (GDP)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</si>
  <si>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</si>
  <si>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</si>
  <si>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</si>
  <si>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</si>
  <si>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</si>
  <si>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</si>
  <si>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</si>
  <si>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</si>
  <si>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</si>
  <si>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</si>
  <si>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</si>
  <si>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</si>
  <si>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</si>
  <si>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</si>
  <si>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</si>
  <si>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</si>
  <si>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</si>
  <si>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</si>
  <si>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</si>
  <si>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</si>
  <si>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</si>
  <si>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</si>
  <si>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</si>
  <si>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>RISK FREE RATE (Rf)</t>
  </si>
  <si>
    <t xml:space="preserve">10-year U.S. Treasury coupon bonds 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</si>
  <si>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</si>
  <si>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t>30-year U.S. Treasury coupon bonds</t>
  </si>
  <si>
    <t>KDOR Selected Risk Free Rate (Rf) &gt;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</si>
  <si>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</si>
  <si>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</si>
  <si>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http://pages.stern.nyu.edu/~adamodar/</t>
  </si>
  <si>
    <t>Three Stage Ex Ante  Version 1  (1)</t>
  </si>
  <si>
    <t>Three Stage Ex Ante  Version 2   (2)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</si>
  <si>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</si>
  <si>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</si>
  <si>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NA</t>
  </si>
  <si>
    <t>Moody's Bond</t>
  </si>
  <si>
    <t>Moody's Rating</t>
  </si>
  <si>
    <t>DEBT RATE for Direct and Yield Approach</t>
  </si>
  <si>
    <t>2026 CAPITALIZATION RATE STUDY</t>
  </si>
  <si>
    <t>2026 Tax Year</t>
  </si>
  <si>
    <t>Vl Projected 2026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</si>
  <si>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</si>
  <si>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</si>
  <si>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</si>
  <si>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</si>
  <si>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</si>
  <si>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</si>
  <si>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</si>
  <si>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</si>
  <si>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</si>
  <si>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</si>
  <si>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</si>
  <si>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YEAR END 12/31/2025</t>
  </si>
  <si>
    <t>Dec. 31, 2025</t>
  </si>
  <si>
    <t>SPIRIT AIRLINES FILED FOR CHAPTER 11 BANKRUPTCY IN NOVEMBER 2025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</si>
  <si>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</si>
  <si>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</si>
  <si>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</si>
  <si>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</si>
  <si>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Nil</t>
  </si>
  <si>
    <t>Estimated 23-25 to 29-31</t>
  </si>
  <si>
    <t>NMF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</si>
  <si>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</si>
  <si>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</si>
  <si>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</si>
  <si>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</si>
  <si>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</si>
  <si>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</si>
  <si>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</si>
  <si>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</si>
  <si>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Medium projection value from Dec. 10, 2025 report Table 1</t>
  </si>
  <si>
    <t>B++</t>
  </si>
  <si>
    <t>C++</t>
  </si>
  <si>
    <t>BA</t>
  </si>
  <si>
    <t>Fernandez, P., Garcia D., &amp; Acin, J. F. (2025). Survey: Market Risk Pre</t>
  </si>
  <si>
    <t>(7) Aswath Damodaran</t>
  </si>
  <si>
    <t>Aswath Damodaran</t>
  </si>
  <si>
    <t>Federal Reserve Statistical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</si>
</sst>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_(* #,##0.000_);_(* \(#,##0.000\);_(* &quot;-&quot;??_);_(@_)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11"/>
      <color rgb="FFFF0000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i/>
      <sz val="18"/>
      <color rgb="FF0000CC"/>
      <name val="Microsoft GothicNeo"/>
      <family val="2"/>
      <charset val="129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i/>
      <sz val="10"/>
      <color rgb="FF0000CC"/>
      <name val="Microsoft GothicNeo"/>
      <family val="2"/>
      <charset val="129"/>
    </font>
    <font>
      <b/>
      <sz val="9"/>
      <name val="Microsoft GothicNeo"/>
      <family val="2"/>
      <charset val="129"/>
    </font>
    <font>
      <b/>
      <sz val="12"/>
      <color rgb="FF000000"/>
      <name val="Microsoft GothicNeo"/>
      <family val="2"/>
      <charset val="129"/>
    </font>
    <font>
      <sz val="12"/>
      <color indexed="81"/>
      <name val="Tahoma"/>
      <family val="2"/>
    </font>
    <font>
      <i/>
      <sz val="11"/>
      <color theme="1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b/>
      <sz val="11"/>
      <color theme="1"/>
      <name val="Cordia New"/>
      <family val="2"/>
      <charset val="222"/>
    </font>
    <font>
      <b/>
      <sz val="12"/>
      <color theme="1"/>
      <name val="Cordia New"/>
      <family val="2"/>
      <charset val="222"/>
    </font>
    <font>
      <sz val="11"/>
      <color theme="1"/>
      <name val="Cordia New"/>
      <family val="2"/>
      <charset val="222"/>
    </font>
    <font>
      <b/>
      <i/>
      <sz val="14"/>
      <name val="Microsoft GothicNeo"/>
      <family val="2"/>
      <charset val="129"/>
    </font>
    <font>
      <b/>
      <i/>
      <sz val="12"/>
      <name val="Microsoft GothicNeo"/>
      <family val="2"/>
      <charset val="129"/>
    </font>
    <font>
      <sz val="12"/>
      <color theme="1"/>
      <name val="Cordia New"/>
      <family val="2"/>
      <charset val="222"/>
    </font>
    <font>
      <u/>
      <sz val="12"/>
      <color rgb="FF0000CC"/>
      <name val="Microsoft GothicNeo"/>
      <family val="2"/>
      <charset val="129"/>
    </font>
    <font>
      <sz val="10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1"/>
      <name val="Cordia New"/>
      <family val="2"/>
      <charset val="222"/>
    </font>
    <font>
      <sz val="9"/>
      <color rgb="FFC00000"/>
      <name val="Aptos"/>
      <family val="2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b/>
      <sz val="11"/>
      <color theme="1"/>
      <name val="Microsoft GothicNeo Light"/>
      <family val="2"/>
      <charset val="129"/>
    </font>
    <font>
      <b/>
      <sz val="18"/>
      <name val="Microsoft GothicNeo"/>
      <family val="2"/>
      <charset val="129"/>
    </font>
    <font>
      <b/>
      <sz val="12"/>
      <color rgb="FFA20000"/>
      <name val="Microsoft GothicNeo"/>
      <family val="2"/>
      <charset val="129"/>
    </font>
    <font>
      <sz val="12"/>
      <color rgb="FFA20000"/>
      <name val="Microsoft GothicNeo"/>
      <family val="2"/>
      <charset val="129"/>
    </font>
    <font>
      <sz val="11"/>
      <color rgb="FFA20000"/>
      <name val="Microsoft GothicNeo"/>
      <family val="2"/>
      <charset val="129"/>
    </font>
    <font>
      <b/>
      <sz val="11"/>
      <color rgb="FFA20000"/>
      <name val="Microsoft GothicNeo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 applyNumberFormat="0" applyFill="0" applyBorder="0" applyAlignment="0" applyProtection="0"/>
  </cellStyleXfs>
  <cellXfs count="50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43" fontId="22" fillId="0" borderId="0" xfId="1" applyFont="1" applyAlignment="1">
      <alignment horizontal="right" vertical="center"/>
    </xf>
    <xf numFmtId="43" fontId="22" fillId="0" borderId="0" xfId="1" applyFont="1" applyFill="1" applyAlignment="1">
      <alignment horizontal="right" vertical="center"/>
    </xf>
    <xf numFmtId="43" fontId="21" fillId="0" borderId="0" xfId="1" applyFont="1" applyFill="1" applyAlignment="1">
      <alignment horizontal="right"/>
    </xf>
    <xf numFmtId="43" fontId="21" fillId="0" borderId="0" xfId="1" applyFont="1" applyFill="1" applyAlignment="1">
      <alignment horizontal="center"/>
    </xf>
    <xf numFmtId="43" fontId="21" fillId="0" borderId="0" xfId="1" applyFont="1" applyFill="1" applyAlignment="1">
      <alignment horizontal="center" vertical="center"/>
    </xf>
    <xf numFmtId="43" fontId="21" fillId="0" borderId="0" xfId="1" applyFont="1" applyFill="1" applyBorder="1" applyAlignment="1">
      <alignment horizontal="center" vertical="center"/>
    </xf>
    <xf numFmtId="43" fontId="21" fillId="0" borderId="0" xfId="1" applyFont="1" applyFill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14" xfId="0" applyFont="1" applyBorder="1"/>
    <xf numFmtId="0" fontId="19" fillId="0" borderId="2" xfId="0" applyFont="1" applyBorder="1"/>
    <xf numFmtId="0" fontId="28" fillId="0" borderId="0" xfId="0" applyFont="1"/>
    <xf numFmtId="0" fontId="24" fillId="0" borderId="0" xfId="0" applyFont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1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3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1" fillId="0" borderId="0" xfId="0" applyFont="1"/>
    <xf numFmtId="166" fontId="22" fillId="0" borderId="0" xfId="1" applyNumberFormat="1" applyFont="1" applyFill="1" applyAlignment="1">
      <alignment horizontal="center"/>
    </xf>
    <xf numFmtId="166" fontId="22" fillId="0" borderId="0" xfId="1" applyNumberFormat="1" applyFont="1" applyFill="1"/>
    <xf numFmtId="0" fontId="21" fillId="0" borderId="4" xfId="0" applyFont="1" applyBorder="1"/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10" fontId="21" fillId="0" borderId="0" xfId="2" applyNumberFormat="1" applyFont="1" applyFill="1" applyAlignment="1">
      <alignment horizontal="center" vertical="center"/>
    </xf>
    <xf numFmtId="10" fontId="21" fillId="0" borderId="0" xfId="2" applyNumberFormat="1" applyFont="1" applyFill="1" applyBorder="1" applyAlignment="1">
      <alignment horizontal="center" vertical="center"/>
    </xf>
    <xf numFmtId="10" fontId="22" fillId="0" borderId="0" xfId="2" applyNumberFormat="1" applyFont="1" applyAlignment="1">
      <alignment horizontal="right" vertical="center"/>
    </xf>
    <xf numFmtId="10" fontId="22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center"/>
    </xf>
    <xf numFmtId="10" fontId="21" fillId="0" borderId="0" xfId="2" applyNumberFormat="1" applyFont="1" applyFill="1"/>
    <xf numFmtId="0" fontId="19" fillId="2" borderId="18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2" fontId="38" fillId="0" borderId="0" xfId="0" applyNumberFormat="1" applyFont="1" applyAlignment="1">
      <alignment horizontal="center"/>
    </xf>
    <xf numFmtId="164" fontId="38" fillId="0" borderId="0" xfId="1" applyNumberFormat="1" applyFont="1" applyAlignment="1"/>
    <xf numFmtId="2" fontId="22" fillId="0" borderId="0" xfId="0" applyNumberFormat="1" applyFont="1" applyAlignment="1">
      <alignment horizontal="center"/>
    </xf>
    <xf numFmtId="0" fontId="34" fillId="0" borderId="0" xfId="0" applyFont="1"/>
    <xf numFmtId="43" fontId="24" fillId="0" borderId="0" xfId="1" applyFont="1" applyFill="1"/>
    <xf numFmtId="2" fontId="38" fillId="0" borderId="4" xfId="0" applyNumberFormat="1" applyFont="1" applyBorder="1" applyAlignment="1">
      <alignment horizontal="center"/>
    </xf>
    <xf numFmtId="10" fontId="22" fillId="0" borderId="0" xfId="2" applyNumberFormat="1" applyFont="1" applyFill="1" applyAlignment="1">
      <alignment horizontal="center"/>
    </xf>
    <xf numFmtId="0" fontId="19" fillId="0" borderId="2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/>
    </xf>
    <xf numFmtId="0" fontId="19" fillId="0" borderId="4" xfId="0" applyFont="1" applyBorder="1"/>
    <xf numFmtId="2" fontId="21" fillId="0" borderId="0" xfId="0" applyNumberFormat="1" applyFont="1" applyAlignment="1">
      <alignment horizontal="right"/>
    </xf>
    <xf numFmtId="10" fontId="21" fillId="0" borderId="0" xfId="0" applyNumberFormat="1" applyFont="1"/>
    <xf numFmtId="0" fontId="39" fillId="0" borderId="0" xfId="0" applyFont="1" applyAlignment="1">
      <alignment horizontal="center"/>
    </xf>
    <xf numFmtId="0" fontId="40" fillId="0" borderId="0" xfId="0" applyFont="1"/>
    <xf numFmtId="0" fontId="41" fillId="0" borderId="15" xfId="0" applyFont="1" applyBorder="1" applyAlignment="1">
      <alignment horizontal="center"/>
    </xf>
    <xf numFmtId="0" fontId="36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0" fontId="21" fillId="0" borderId="0" xfId="2" applyNumberFormat="1" applyFont="1"/>
    <xf numFmtId="10" fontId="21" fillId="0" borderId="0" xfId="1" applyNumberFormat="1" applyFont="1" applyFill="1"/>
    <xf numFmtId="10" fontId="43" fillId="0" borderId="0" xfId="2" applyNumberFormat="1" applyFont="1" applyFill="1" applyAlignment="1">
      <alignment horizontal="center"/>
    </xf>
    <xf numFmtId="164" fontId="21" fillId="0" borderId="0" xfId="1" applyNumberFormat="1" applyFont="1"/>
    <xf numFmtId="0" fontId="19" fillId="0" borderId="0" xfId="0" applyFont="1" applyAlignment="1">
      <alignment horizontal="left"/>
    </xf>
    <xf numFmtId="0" fontId="21" fillId="0" borderId="2" xfId="0" applyFont="1" applyBorder="1"/>
    <xf numFmtId="0" fontId="34" fillId="0" borderId="7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0" xfId="0" applyFont="1" applyAlignment="1">
      <alignment horizontal="center"/>
    </xf>
    <xf numFmtId="15" fontId="34" fillId="0" borderId="9" xfId="0" applyNumberFormat="1" applyFont="1" applyBorder="1" applyAlignment="1">
      <alignment horizontal="center"/>
    </xf>
    <xf numFmtId="15" fontId="34" fillId="0" borderId="0" xfId="0" quotePrefix="1" applyNumberFormat="1" applyFont="1" applyAlignment="1">
      <alignment horizontal="center"/>
    </xf>
    <xf numFmtId="0" fontId="22" fillId="0" borderId="9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4" fillId="0" borderId="9" xfId="0" applyFont="1" applyBorder="1"/>
    <xf numFmtId="0" fontId="34" fillId="0" borderId="7" xfId="0" applyFont="1" applyBorder="1"/>
    <xf numFmtId="0" fontId="38" fillId="0" borderId="0" xfId="0" applyFont="1" applyAlignment="1">
      <alignment horizontal="center"/>
    </xf>
    <xf numFmtId="2" fontId="38" fillId="0" borderId="9" xfId="0" applyNumberFormat="1" applyFont="1" applyBorder="1" applyAlignment="1">
      <alignment horizontal="center"/>
    </xf>
    <xf numFmtId="3" fontId="38" fillId="0" borderId="0" xfId="0" applyNumberFormat="1" applyFont="1"/>
    <xf numFmtId="0" fontId="37" fillId="0" borderId="0" xfId="0" applyFont="1"/>
    <xf numFmtId="0" fontId="37" fillId="0" borderId="2" xfId="0" applyFont="1" applyBorder="1"/>
    <xf numFmtId="0" fontId="37" fillId="0" borderId="5" xfId="0" applyFont="1" applyBorder="1"/>
    <xf numFmtId="0" fontId="19" fillId="0" borderId="6" xfId="0" applyFont="1" applyBorder="1"/>
    <xf numFmtId="0" fontId="37" fillId="0" borderId="11" xfId="0" applyFont="1" applyBorder="1"/>
    <xf numFmtId="0" fontId="38" fillId="0" borderId="12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4" fillId="0" borderId="12" xfId="0" applyFont="1" applyBorder="1"/>
    <xf numFmtId="10" fontId="38" fillId="0" borderId="12" xfId="2" applyNumberFormat="1" applyFont="1" applyFill="1" applyBorder="1"/>
    <xf numFmtId="0" fontId="37" fillId="0" borderId="8" xfId="0" applyFont="1" applyBorder="1"/>
    <xf numFmtId="0" fontId="37" fillId="0" borderId="13" xfId="0" applyFont="1" applyBorder="1"/>
    <xf numFmtId="0" fontId="34" fillId="0" borderId="0" xfId="0" applyFont="1" applyAlignment="1">
      <alignment horizontal="right"/>
    </xf>
    <xf numFmtId="164" fontId="21" fillId="0" borderId="0" xfId="0" applyNumberFormat="1" applyFont="1"/>
    <xf numFmtId="10" fontId="34" fillId="0" borderId="0" xfId="0" applyNumberFormat="1" applyFont="1" applyAlignment="1">
      <alignment horizontal="right"/>
    </xf>
    <xf numFmtId="10" fontId="34" fillId="0" borderId="0" xfId="2" applyNumberFormat="1" applyFont="1" applyFill="1"/>
    <xf numFmtId="10" fontId="34" fillId="0" borderId="0" xfId="2" applyNumberFormat="1" applyFont="1"/>
    <xf numFmtId="2" fontId="19" fillId="0" borderId="0" xfId="0" applyNumberFormat="1" applyFont="1"/>
    <xf numFmtId="0" fontId="28" fillId="0" borderId="0" xfId="0" applyFont="1" applyAlignment="1">
      <alignment horizontal="right"/>
    </xf>
    <xf numFmtId="0" fontId="22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165" fontId="21" fillId="0" borderId="0" xfId="3" applyNumberFormat="1" applyFont="1" applyFill="1" applyAlignment="1">
      <alignment horizontal="center"/>
    </xf>
    <xf numFmtId="164" fontId="22" fillId="0" borderId="0" xfId="1" applyNumberFormat="1" applyFont="1" applyFill="1"/>
    <xf numFmtId="10" fontId="22" fillId="0" borderId="0" xfId="2" applyNumberFormat="1" applyFont="1" applyFill="1"/>
    <xf numFmtId="0" fontId="28" fillId="0" borderId="2" xfId="0" applyFont="1" applyBorder="1" applyAlignment="1">
      <alignment horizontal="center"/>
    </xf>
    <xf numFmtId="10" fontId="38" fillId="0" borderId="0" xfId="2" applyNumberFormat="1" applyFont="1" applyFill="1" applyAlignment="1">
      <alignment horizontal="center"/>
    </xf>
    <xf numFmtId="10" fontId="38" fillId="0" borderId="0" xfId="2" applyNumberFormat="1" applyFont="1" applyFill="1"/>
    <xf numFmtId="2" fontId="34" fillId="0" borderId="2" xfId="0" applyNumberFormat="1" applyFont="1" applyBorder="1" applyAlignment="1">
      <alignment horizontal="center"/>
    </xf>
    <xf numFmtId="10" fontId="34" fillId="0" borderId="2" xfId="2" applyNumberFormat="1" applyFont="1" applyBorder="1"/>
    <xf numFmtId="10" fontId="34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8" fillId="0" borderId="0" xfId="0" applyFont="1"/>
    <xf numFmtId="0" fontId="34" fillId="0" borderId="0" xfId="0" applyFont="1" applyAlignment="1">
      <alignment horizontal="left"/>
    </xf>
    <xf numFmtId="10" fontId="19" fillId="0" borderId="0" xfId="0" applyNumberFormat="1" applyFont="1"/>
    <xf numFmtId="0" fontId="18" fillId="0" borderId="0" xfId="6"/>
    <xf numFmtId="0" fontId="47" fillId="0" borderId="2" xfId="0" applyFont="1" applyBorder="1"/>
    <xf numFmtId="0" fontId="0" fillId="0" borderId="2" xfId="0" applyBorder="1"/>
    <xf numFmtId="0" fontId="28" fillId="0" borderId="2" xfId="0" applyFont="1" applyBorder="1"/>
    <xf numFmtId="0" fontId="19" fillId="0" borderId="5" xfId="0" applyFont="1" applyBorder="1"/>
    <xf numFmtId="0" fontId="19" fillId="0" borderId="11" xfId="0" applyFont="1" applyBorder="1"/>
    <xf numFmtId="0" fontId="21" fillId="0" borderId="8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48" fillId="0" borderId="0" xfId="0" applyFont="1"/>
    <xf numFmtId="0" fontId="28" fillId="0" borderId="7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47" fillId="0" borderId="31" xfId="0" applyFont="1" applyBorder="1"/>
    <xf numFmtId="0" fontId="34" fillId="0" borderId="29" xfId="0" applyFont="1" applyBorder="1"/>
    <xf numFmtId="0" fontId="34" fillId="0" borderId="18" xfId="0" applyFont="1" applyBorder="1"/>
    <xf numFmtId="0" fontId="34" fillId="0" borderId="1" xfId="0" applyFont="1" applyBorder="1"/>
    <xf numFmtId="10" fontId="38" fillId="0" borderId="0" xfId="2" applyNumberFormat="1" applyFont="1" applyAlignment="1">
      <alignment horizontal="right" vertical="center"/>
    </xf>
    <xf numFmtId="10" fontId="34" fillId="0" borderId="0" xfId="2" applyNumberFormat="1" applyFont="1" applyFill="1" applyAlignment="1">
      <alignment horizontal="right"/>
    </xf>
    <xf numFmtId="43" fontId="34" fillId="0" borderId="0" xfId="1" applyFont="1" applyFill="1" applyAlignment="1">
      <alignment horizontal="right"/>
    </xf>
    <xf numFmtId="43" fontId="34" fillId="0" borderId="0" xfId="1" applyFont="1" applyFill="1"/>
    <xf numFmtId="0" fontId="34" fillId="0" borderId="0" xfId="0" applyFont="1" applyAlignment="1">
      <alignment horizontal="center" vertical="center"/>
    </xf>
    <xf numFmtId="44" fontId="38" fillId="0" borderId="0" xfId="3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0" fillId="0" borderId="32" xfId="0" applyBorder="1"/>
    <xf numFmtId="0" fontId="19" fillId="0" borderId="30" xfId="0" applyFont="1" applyBorder="1"/>
    <xf numFmtId="0" fontId="24" fillId="0" borderId="32" xfId="0" applyFont="1" applyBorder="1" applyAlignment="1">
      <alignment horizontal="right"/>
    </xf>
    <xf numFmtId="0" fontId="23" fillId="0" borderId="30" xfId="0" applyFont="1" applyBorder="1"/>
    <xf numFmtId="0" fontId="23" fillId="0" borderId="32" xfId="0" applyFont="1" applyBorder="1" applyAlignment="1">
      <alignment horizontal="right"/>
    </xf>
    <xf numFmtId="0" fontId="23" fillId="0" borderId="32" xfId="0" applyFont="1" applyBorder="1"/>
    <xf numFmtId="0" fontId="19" fillId="0" borderId="32" xfId="0" applyFont="1" applyBorder="1"/>
    <xf numFmtId="0" fontId="34" fillId="0" borderId="7" xfId="0" applyFont="1" applyBorder="1" applyAlignment="1">
      <alignment horizontal="center" vertical="center"/>
    </xf>
    <xf numFmtId="10" fontId="34" fillId="0" borderId="0" xfId="2" applyNumberFormat="1" applyFont="1" applyBorder="1" applyAlignment="1">
      <alignment horizontal="center" vertical="center"/>
    </xf>
    <xf numFmtId="10" fontId="34" fillId="0" borderId="12" xfId="2" applyNumberFormat="1" applyFont="1" applyBorder="1" applyAlignment="1">
      <alignment horizontal="center" vertical="center"/>
    </xf>
    <xf numFmtId="0" fontId="37" fillId="0" borderId="7" xfId="0" applyFont="1" applyBorder="1"/>
    <xf numFmtId="0" fontId="37" fillId="0" borderId="12" xfId="0" applyFont="1" applyBorder="1"/>
    <xf numFmtId="0" fontId="24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horizontal="right"/>
    </xf>
    <xf numFmtId="2" fontId="34" fillId="0" borderId="14" xfId="0" applyNumberFormat="1" applyFont="1" applyBorder="1" applyAlignment="1">
      <alignment horizontal="center"/>
    </xf>
    <xf numFmtId="43" fontId="34" fillId="0" borderId="0" xfId="1" applyFont="1" applyBorder="1" applyAlignment="1">
      <alignment horizontal="center" vertical="center"/>
    </xf>
    <xf numFmtId="43" fontId="34" fillId="0" borderId="0" xfId="1" applyFont="1" applyBorder="1" applyAlignment="1">
      <alignment vertical="center"/>
    </xf>
    <xf numFmtId="10" fontId="34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4" fillId="0" borderId="0" xfId="2" applyNumberFormat="1" applyFont="1" applyFill="1" applyBorder="1" applyAlignment="1">
      <alignment horizontal="center" vertical="center"/>
    </xf>
    <xf numFmtId="0" fontId="34" fillId="0" borderId="28" xfId="0" applyFont="1" applyBorder="1"/>
    <xf numFmtId="0" fontId="34" fillId="0" borderId="19" xfId="0" applyFont="1" applyBorder="1"/>
    <xf numFmtId="0" fontId="34" fillId="0" borderId="21" xfId="0" applyFont="1" applyBorder="1"/>
    <xf numFmtId="0" fontId="19" fillId="0" borderId="22" xfId="0" applyFont="1" applyBorder="1"/>
    <xf numFmtId="10" fontId="28" fillId="0" borderId="3" xfId="2" applyNumberFormat="1" applyFont="1" applyBorder="1" applyAlignment="1">
      <alignment horizontal="center" vertical="center"/>
    </xf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/>
    <xf numFmtId="0" fontId="28" fillId="0" borderId="8" xfId="0" applyFont="1" applyBorder="1" applyAlignment="1">
      <alignment horizontal="right" vertical="center"/>
    </xf>
    <xf numFmtId="0" fontId="30" fillId="0" borderId="15" xfId="0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0" fontId="21" fillId="0" borderId="2" xfId="0" quotePrefix="1" applyFont="1" applyBorder="1" applyAlignment="1">
      <alignment horizontal="center"/>
    </xf>
    <xf numFmtId="0" fontId="6" fillId="0" borderId="0" xfId="0" applyFont="1"/>
    <xf numFmtId="0" fontId="51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2" fillId="0" borderId="0" xfId="0" applyFont="1"/>
    <xf numFmtId="0" fontId="37" fillId="0" borderId="0" xfId="0" applyFont="1" applyAlignment="1">
      <alignment horizontal="right"/>
    </xf>
    <xf numFmtId="0" fontId="37" fillId="0" borderId="2" xfId="0" applyFont="1" applyBorder="1" applyAlignment="1">
      <alignment horizontal="center"/>
    </xf>
    <xf numFmtId="0" fontId="49" fillId="0" borderId="0" xfId="0" applyFont="1"/>
    <xf numFmtId="10" fontId="28" fillId="0" borderId="9" xfId="2" applyNumberFormat="1" applyFont="1" applyFill="1" applyBorder="1" applyAlignment="1">
      <alignment horizontal="center" vertical="center"/>
    </xf>
    <xf numFmtId="167" fontId="38" fillId="0" borderId="14" xfId="1" applyNumberFormat="1" applyFont="1" applyFill="1" applyBorder="1"/>
    <xf numFmtId="15" fontId="34" fillId="0" borderId="22" xfId="0" applyNumberFormat="1" applyFont="1" applyBorder="1" applyAlignment="1">
      <alignment horizontal="center"/>
    </xf>
    <xf numFmtId="15" fontId="34" fillId="0" borderId="11" xfId="0" applyNumberFormat="1" applyFont="1" applyBorder="1" applyAlignment="1">
      <alignment horizontal="center"/>
    </xf>
    <xf numFmtId="15" fontId="34" fillId="0" borderId="12" xfId="0" applyNumberFormat="1" applyFont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8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0" fillId="0" borderId="1" xfId="0" applyBorder="1"/>
    <xf numFmtId="0" fontId="34" fillId="0" borderId="1" xfId="0" applyFont="1" applyBorder="1" applyAlignment="1">
      <alignment horizontal="center"/>
    </xf>
    <xf numFmtId="10" fontId="38" fillId="0" borderId="1" xfId="2" applyNumberFormat="1" applyFont="1" applyFill="1" applyBorder="1" applyAlignment="1">
      <alignment horizontal="center"/>
    </xf>
    <xf numFmtId="43" fontId="38" fillId="0" borderId="1" xfId="1" applyFont="1" applyFill="1" applyBorder="1" applyAlignment="1">
      <alignment horizontal="center"/>
    </xf>
    <xf numFmtId="43" fontId="38" fillId="0" borderId="0" xfId="1" applyFont="1" applyAlignment="1">
      <alignment horizontal="center"/>
    </xf>
    <xf numFmtId="43" fontId="38" fillId="0" borderId="0" xfId="1" applyFont="1" applyFill="1" applyAlignment="1">
      <alignment horizontal="center"/>
    </xf>
    <xf numFmtId="0" fontId="48" fillId="0" borderId="0" xfId="0" applyFont="1" applyAlignment="1">
      <alignment horizontal="right"/>
    </xf>
    <xf numFmtId="43" fontId="48" fillId="0" borderId="0" xfId="0" applyNumberFormat="1" applyFont="1"/>
    <xf numFmtId="2" fontId="48" fillId="0" borderId="0" xfId="0" applyNumberFormat="1" applyFont="1"/>
    <xf numFmtId="0" fontId="34" fillId="0" borderId="5" xfId="0" applyFont="1" applyBorder="1" applyAlignment="1">
      <alignment horizontal="center"/>
    </xf>
    <xf numFmtId="0" fontId="34" fillId="0" borderId="22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164" fontId="38" fillId="0" borderId="9" xfId="1" applyNumberFormat="1" applyFont="1" applyFill="1" applyBorder="1" applyAlignment="1">
      <alignment horizontal="center"/>
    </xf>
    <xf numFmtId="164" fontId="38" fillId="0" borderId="12" xfId="1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0" fontId="38" fillId="0" borderId="0" xfId="2" applyNumberFormat="1" applyFont="1" applyFill="1" applyBorder="1" applyAlignment="1">
      <alignment horizontal="center"/>
    </xf>
    <xf numFmtId="10" fontId="38" fillId="0" borderId="0" xfId="2" applyNumberFormat="1" applyFont="1" applyBorder="1" applyAlignment="1">
      <alignment horizontal="center" vertical="center"/>
    </xf>
    <xf numFmtId="10" fontId="28" fillId="0" borderId="3" xfId="2" applyNumberFormat="1" applyFont="1" applyFill="1" applyBorder="1" applyAlignment="1">
      <alignment horizontal="center" vertical="center"/>
    </xf>
    <xf numFmtId="0" fontId="28" fillId="0" borderId="30" xfId="0" applyFont="1" applyBorder="1"/>
    <xf numFmtId="0" fontId="19" fillId="0" borderId="31" xfId="0" applyFont="1" applyBorder="1"/>
    <xf numFmtId="0" fontId="34" fillId="0" borderId="30" xfId="0" applyFont="1" applyBorder="1"/>
    <xf numFmtId="0" fontId="34" fillId="0" borderId="32" xfId="0" applyFont="1" applyBorder="1"/>
    <xf numFmtId="15" fontId="34" fillId="0" borderId="6" xfId="0" applyNumberFormat="1" applyFont="1" applyBorder="1" applyAlignment="1">
      <alignment horizontal="center"/>
    </xf>
    <xf numFmtId="15" fontId="34" fillId="0" borderId="22" xfId="0" quotePrefix="1" applyNumberFormat="1" applyFont="1" applyBorder="1" applyAlignment="1">
      <alignment horizontal="center"/>
    </xf>
    <xf numFmtId="15" fontId="34" fillId="0" borderId="0" xfId="0" applyNumberFormat="1" applyFont="1" applyAlignment="1">
      <alignment horizontal="center"/>
    </xf>
    <xf numFmtId="0" fontId="55" fillId="0" borderId="0" xfId="0" applyFont="1"/>
    <xf numFmtId="0" fontId="34" fillId="0" borderId="11" xfId="0" applyFont="1" applyBorder="1" applyAlignment="1">
      <alignment horizontal="center"/>
    </xf>
    <xf numFmtId="0" fontId="35" fillId="0" borderId="33" xfId="0" applyFont="1" applyBorder="1" applyAlignment="1">
      <alignment horizontal="center"/>
    </xf>
    <xf numFmtId="10" fontId="36" fillId="0" borderId="0" xfId="2" applyNumberFormat="1" applyFont="1" applyFill="1" applyBorder="1"/>
    <xf numFmtId="0" fontId="34" fillId="3" borderId="18" xfId="0" applyFont="1" applyFill="1" applyBorder="1"/>
    <xf numFmtId="0" fontId="28" fillId="0" borderId="26" xfId="0" applyFont="1" applyBorder="1" applyAlignment="1">
      <alignment horizontal="center"/>
    </xf>
    <xf numFmtId="0" fontId="37" fillId="2" borderId="24" xfId="0" applyFont="1" applyFill="1" applyBorder="1" applyAlignment="1">
      <alignment horizontal="center"/>
    </xf>
    <xf numFmtId="0" fontId="19" fillId="2" borderId="24" xfId="0" applyFont="1" applyFill="1" applyBorder="1" applyAlignment="1">
      <alignment horizontal="center"/>
    </xf>
    <xf numFmtId="0" fontId="37" fillId="2" borderId="25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/>
    </xf>
    <xf numFmtId="0" fontId="19" fillId="2" borderId="2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9" fillId="2" borderId="21" xfId="0" applyFont="1" applyFill="1" applyBorder="1" applyAlignment="1">
      <alignment horizontal="center"/>
    </xf>
    <xf numFmtId="0" fontId="37" fillId="2" borderId="23" xfId="0" applyFont="1" applyFill="1" applyBorder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0" borderId="0" xfId="1" applyNumberFormat="1" applyFont="1" applyFill="1" applyAlignment="1">
      <alignment horizontal="center"/>
    </xf>
    <xf numFmtId="164" fontId="22" fillId="0" borderId="1" xfId="1" applyNumberFormat="1" applyFont="1" applyFill="1" applyBorder="1" applyAlignment="1">
      <alignment horizontal="center"/>
    </xf>
    <xf numFmtId="0" fontId="40" fillId="0" borderId="13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35" fillId="0" borderId="34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34" fillId="0" borderId="8" xfId="0" applyFont="1" applyBorder="1"/>
    <xf numFmtId="164" fontId="38" fillId="0" borderId="3" xfId="1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164" fontId="21" fillId="0" borderId="0" xfId="0" applyNumberFormat="1" applyFont="1" applyAlignment="1">
      <alignment horizontal="right"/>
    </xf>
    <xf numFmtId="0" fontId="0" fillId="0" borderId="6" xfId="0" applyBorder="1"/>
    <xf numFmtId="10" fontId="38" fillId="0" borderId="0" xfId="2" applyNumberFormat="1" applyFont="1" applyFill="1" applyBorder="1" applyAlignment="1">
      <alignment horizontal="right"/>
    </xf>
    <xf numFmtId="10" fontId="22" fillId="0" borderId="0" xfId="2" applyNumberFormat="1" applyFont="1" applyFill="1" applyAlignment="1">
      <alignment horizontal="center" vertical="center"/>
    </xf>
    <xf numFmtId="10" fontId="22" fillId="0" borderId="1" xfId="2" applyNumberFormat="1" applyFont="1" applyFill="1" applyBorder="1" applyAlignment="1">
      <alignment horizontal="center" vertical="center"/>
    </xf>
    <xf numFmtId="10" fontId="21" fillId="0" borderId="0" xfId="2" applyNumberFormat="1" applyFont="1" applyFill="1" applyAlignment="1">
      <alignment horizontal="right" vertical="center"/>
    </xf>
    <xf numFmtId="10" fontId="21" fillId="0" borderId="0" xfId="2" applyNumberFormat="1" applyFont="1" applyFill="1" applyBorder="1" applyAlignment="1">
      <alignment horizontal="right" vertical="center"/>
    </xf>
    <xf numFmtId="0" fontId="19" fillId="0" borderId="21" xfId="0" applyFont="1" applyBorder="1"/>
    <xf numFmtId="0" fontId="0" fillId="0" borderId="31" xfId="0" applyBorder="1"/>
    <xf numFmtId="10" fontId="22" fillId="0" borderId="0" xfId="2" applyNumberFormat="1" applyFont="1" applyAlignment="1">
      <alignment horizontal="right"/>
    </xf>
    <xf numFmtId="164" fontId="22" fillId="0" borderId="0" xfId="1" applyNumberFormat="1" applyFont="1" applyFill="1" applyAlignment="1"/>
    <xf numFmtId="164" fontId="22" fillId="0" borderId="1" xfId="1" applyNumberFormat="1" applyFont="1" applyFill="1" applyBorder="1" applyAlignment="1"/>
    <xf numFmtId="43" fontId="22" fillId="0" borderId="1" xfId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right"/>
    </xf>
    <xf numFmtId="10" fontId="22" fillId="0" borderId="1" xfId="2" applyNumberFormat="1" applyFont="1" applyBorder="1" applyAlignment="1">
      <alignment horizontal="right" vertical="center"/>
    </xf>
    <xf numFmtId="0" fontId="34" fillId="0" borderId="1" xfId="0" applyFont="1" applyBorder="1" applyAlignment="1">
      <alignment horizontal="right"/>
    </xf>
    <xf numFmtId="0" fontId="38" fillId="0" borderId="7" xfId="0" applyFont="1" applyBorder="1"/>
    <xf numFmtId="164" fontId="19" fillId="0" borderId="0" xfId="1" applyNumberFormat="1" applyFont="1"/>
    <xf numFmtId="164" fontId="48" fillId="0" borderId="0" xfId="0" applyNumberFormat="1" applyFont="1"/>
    <xf numFmtId="0" fontId="58" fillId="0" borderId="0" xfId="0" applyFont="1"/>
    <xf numFmtId="0" fontId="34" fillId="0" borderId="3" xfId="0" applyFont="1" applyBorder="1" applyAlignment="1">
      <alignment horizontal="right"/>
    </xf>
    <xf numFmtId="164" fontId="38" fillId="0" borderId="13" xfId="1" applyNumberFormat="1" applyFont="1" applyFill="1" applyBorder="1" applyAlignment="1">
      <alignment horizontal="center"/>
    </xf>
    <xf numFmtId="10" fontId="22" fillId="0" borderId="4" xfId="2" applyNumberFormat="1" applyFont="1" applyFill="1" applyBorder="1" applyAlignment="1">
      <alignment horizontal="center"/>
    </xf>
    <xf numFmtId="10" fontId="28" fillId="0" borderId="2" xfId="2" applyNumberFormat="1" applyFont="1" applyBorder="1" applyAlignment="1">
      <alignment horizontal="center" vertical="center"/>
    </xf>
    <xf numFmtId="0" fontId="19" fillId="0" borderId="19" xfId="0" applyFont="1" applyBorder="1"/>
    <xf numFmtId="3" fontId="38" fillId="0" borderId="2" xfId="0" applyNumberFormat="1" applyFont="1" applyBorder="1"/>
    <xf numFmtId="10" fontId="38" fillId="0" borderId="13" xfId="2" applyNumberFormat="1" applyFont="1" applyFill="1" applyBorder="1"/>
    <xf numFmtId="10" fontId="38" fillId="0" borderId="0" xfId="2" applyNumberFormat="1" applyFont="1" applyFill="1" applyAlignment="1">
      <alignment horizontal="right"/>
    </xf>
    <xf numFmtId="0" fontId="34" fillId="0" borderId="4" xfId="0" applyFont="1" applyBorder="1" applyAlignment="1">
      <alignment horizontal="center"/>
    </xf>
    <xf numFmtId="2" fontId="38" fillId="0" borderId="36" xfId="0" applyNumberFormat="1" applyFont="1" applyBorder="1" applyAlignment="1">
      <alignment horizontal="center"/>
    </xf>
    <xf numFmtId="10" fontId="21" fillId="0" borderId="4" xfId="0" applyNumberFormat="1" applyFont="1" applyBorder="1" applyAlignment="1">
      <alignment horizontal="center"/>
    </xf>
    <xf numFmtId="3" fontId="38" fillId="0" borderId="9" xfId="0" applyNumberFormat="1" applyFont="1" applyBorder="1"/>
    <xf numFmtId="3" fontId="60" fillId="0" borderId="9" xfId="0" applyNumberFormat="1" applyFont="1" applyBorder="1"/>
    <xf numFmtId="3" fontId="60" fillId="0" borderId="3" xfId="0" applyNumberFormat="1" applyFont="1" applyBorder="1"/>
    <xf numFmtId="3" fontId="38" fillId="0" borderId="3" xfId="0" applyNumberFormat="1" applyFont="1" applyBorder="1"/>
    <xf numFmtId="164" fontId="38" fillId="0" borderId="9" xfId="1" applyNumberFormat="1" applyFont="1" applyFill="1" applyBorder="1"/>
    <xf numFmtId="164" fontId="38" fillId="0" borderId="3" xfId="1" applyNumberFormat="1" applyFont="1" applyFill="1" applyBorder="1"/>
    <xf numFmtId="0" fontId="20" fillId="0" borderId="18" xfId="0" applyFont="1" applyBorder="1"/>
    <xf numFmtId="0" fontId="37" fillId="0" borderId="9" xfId="0" applyFont="1" applyBorder="1"/>
    <xf numFmtId="0" fontId="34" fillId="0" borderId="3" xfId="0" applyFont="1" applyBorder="1"/>
    <xf numFmtId="2" fontId="34" fillId="0" borderId="3" xfId="0" applyNumberFormat="1" applyFont="1" applyBorder="1" applyAlignment="1">
      <alignment horizontal="center"/>
    </xf>
    <xf numFmtId="2" fontId="38" fillId="0" borderId="3" xfId="0" applyNumberFormat="1" applyFont="1" applyBorder="1" applyAlignment="1">
      <alignment horizontal="center"/>
    </xf>
    <xf numFmtId="2" fontId="22" fillId="0" borderId="4" xfId="0" applyNumberFormat="1" applyFont="1" applyBorder="1" applyAlignment="1">
      <alignment horizontal="center"/>
    </xf>
    <xf numFmtId="43" fontId="38" fillId="0" borderId="0" xfId="1" applyFont="1" applyFill="1" applyAlignment="1">
      <alignment horizontal="right" vertical="center"/>
    </xf>
    <xf numFmtId="43" fontId="38" fillId="0" borderId="1" xfId="1" applyFont="1" applyFill="1" applyBorder="1" applyAlignment="1">
      <alignment horizontal="right" vertical="center"/>
    </xf>
    <xf numFmtId="1" fontId="22" fillId="0" borderId="0" xfId="0" quotePrefix="1" applyNumberFormat="1" applyFont="1" applyAlignment="1">
      <alignment horizontal="center"/>
    </xf>
    <xf numFmtId="164" fontId="44" fillId="0" borderId="9" xfId="1" applyNumberFormat="1" applyFont="1" applyFill="1" applyBorder="1"/>
    <xf numFmtId="10" fontId="22" fillId="0" borderId="1" xfId="2" applyNumberFormat="1" applyFont="1" applyFill="1" applyBorder="1" applyAlignment="1">
      <alignment horizontal="right" vertical="center"/>
    </xf>
    <xf numFmtId="10" fontId="22" fillId="0" borderId="0" xfId="2" applyNumberFormat="1" applyFont="1" applyFill="1" applyAlignment="1">
      <alignment horizontal="right" vertical="center"/>
    </xf>
    <xf numFmtId="2" fontId="22" fillId="0" borderId="0" xfId="0" applyNumberFormat="1" applyFont="1" applyAlignment="1">
      <alignment horizontal="right" vertical="center"/>
    </xf>
    <xf numFmtId="2" fontId="22" fillId="0" borderId="1" xfId="0" applyNumberFormat="1" applyFont="1" applyBorder="1" applyAlignment="1">
      <alignment horizontal="right" vertical="center"/>
    </xf>
    <xf numFmtId="165" fontId="22" fillId="0" borderId="0" xfId="3" applyNumberFormat="1" applyFont="1" applyFill="1" applyAlignment="1">
      <alignment horizontal="right"/>
    </xf>
    <xf numFmtId="10" fontId="34" fillId="0" borderId="1" xfId="2" applyNumberFormat="1" applyFont="1" applyFill="1" applyBorder="1"/>
    <xf numFmtId="0" fontId="38" fillId="0" borderId="16" xfId="0" applyFont="1" applyBorder="1"/>
    <xf numFmtId="10" fontId="38" fillId="0" borderId="26" xfId="2" applyNumberFormat="1" applyFont="1" applyFill="1" applyBorder="1" applyAlignment="1">
      <alignment horizontal="center"/>
    </xf>
    <xf numFmtId="2" fontId="36" fillId="0" borderId="16" xfId="0" applyNumberFormat="1" applyFont="1" applyBorder="1"/>
    <xf numFmtId="10" fontId="36" fillId="0" borderId="26" xfId="2" applyNumberFormat="1" applyFont="1" applyFill="1" applyBorder="1"/>
    <xf numFmtId="43" fontId="36" fillId="0" borderId="26" xfId="1" applyFont="1" applyFill="1" applyBorder="1"/>
    <xf numFmtId="2" fontId="36" fillId="0" borderId="26" xfId="0" applyNumberFormat="1" applyFont="1" applyBorder="1"/>
    <xf numFmtId="2" fontId="38" fillId="0" borderId="2" xfId="0" applyNumberFormat="1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2" fontId="22" fillId="0" borderId="0" xfId="0" applyNumberFormat="1" applyFont="1" applyAlignment="1">
      <alignment horizontal="right"/>
    </xf>
    <xf numFmtId="2" fontId="22" fillId="0" borderId="4" xfId="0" applyNumberFormat="1" applyFont="1" applyBorder="1" applyAlignment="1">
      <alignment horizontal="right"/>
    </xf>
    <xf numFmtId="0" fontId="38" fillId="2" borderId="18" xfId="0" applyFont="1" applyFill="1" applyBorder="1"/>
    <xf numFmtId="10" fontId="38" fillId="2" borderId="24" xfId="2" applyNumberFormat="1" applyFont="1" applyFill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19" fillId="0" borderId="18" xfId="0" applyFont="1" applyBorder="1"/>
    <xf numFmtId="44" fontId="22" fillId="0" borderId="18" xfId="3" applyFont="1" applyFill="1" applyBorder="1" applyAlignment="1">
      <alignment horizontal="center"/>
    </xf>
    <xf numFmtId="44" fontId="22" fillId="0" borderId="39" xfId="3" applyFont="1" applyFill="1" applyBorder="1" applyAlignment="1">
      <alignment horizontal="center"/>
    </xf>
    <xf numFmtId="2" fontId="22" fillId="0" borderId="18" xfId="0" applyNumberFormat="1" applyFont="1" applyBorder="1" applyAlignment="1">
      <alignment horizontal="right" vertical="center"/>
    </xf>
    <xf numFmtId="2" fontId="22" fillId="0" borderId="20" xfId="0" applyNumberFormat="1" applyFont="1" applyBorder="1" applyAlignment="1">
      <alignment horizontal="right" vertical="center"/>
    </xf>
    <xf numFmtId="2" fontId="21" fillId="0" borderId="18" xfId="0" applyNumberFormat="1" applyFont="1" applyBorder="1" applyAlignment="1">
      <alignment horizontal="right"/>
    </xf>
    <xf numFmtId="43" fontId="21" fillId="0" borderId="18" xfId="1" applyFont="1" applyFill="1" applyBorder="1" applyAlignment="1">
      <alignment horizontal="right"/>
    </xf>
    <xf numFmtId="10" fontId="21" fillId="0" borderId="40" xfId="2" applyNumberFormat="1" applyFont="1" applyFill="1" applyBorder="1"/>
    <xf numFmtId="10" fontId="21" fillId="0" borderId="4" xfId="2" applyNumberFormat="1" applyFont="1" applyFill="1" applyBorder="1"/>
    <xf numFmtId="43" fontId="24" fillId="0" borderId="14" xfId="1" applyFont="1" applyFill="1" applyBorder="1" applyAlignment="1">
      <alignment horizontal="center" vertical="center"/>
    </xf>
    <xf numFmtId="0" fontId="34" fillId="3" borderId="37" xfId="0" applyFont="1" applyFill="1" applyBorder="1"/>
    <xf numFmtId="10" fontId="38" fillId="3" borderId="37" xfId="2" applyNumberFormat="1" applyFont="1" applyFill="1" applyBorder="1" applyAlignment="1">
      <alignment horizontal="center"/>
    </xf>
    <xf numFmtId="10" fontId="38" fillId="3" borderId="18" xfId="2" applyNumberFormat="1" applyFont="1" applyFill="1" applyBorder="1" applyAlignment="1">
      <alignment horizontal="center"/>
    </xf>
    <xf numFmtId="10" fontId="19" fillId="0" borderId="18" xfId="2" applyNumberFormat="1" applyFont="1" applyFill="1" applyBorder="1"/>
    <xf numFmtId="10" fontId="19" fillId="0" borderId="18" xfId="0" applyNumberFormat="1" applyFont="1" applyBorder="1"/>
    <xf numFmtId="0" fontId="38" fillId="2" borderId="20" xfId="0" applyFont="1" applyFill="1" applyBorder="1"/>
    <xf numFmtId="10" fontId="38" fillId="2" borderId="25" xfId="2" applyNumberFormat="1" applyFont="1" applyFill="1" applyBorder="1" applyAlignment="1">
      <alignment horizontal="center"/>
    </xf>
    <xf numFmtId="0" fontId="62" fillId="0" borderId="0" xfId="0" applyFont="1"/>
    <xf numFmtId="0" fontId="19" fillId="0" borderId="8" xfId="0" applyFont="1" applyBorder="1"/>
    <xf numFmtId="0" fontId="19" fillId="0" borderId="13" xfId="0" applyFont="1" applyBorder="1"/>
    <xf numFmtId="2" fontId="38" fillId="0" borderId="0" xfId="0" applyNumberFormat="1" applyFont="1" applyAlignment="1">
      <alignment horizontal="right"/>
    </xf>
    <xf numFmtId="10" fontId="38" fillId="2" borderId="18" xfId="2" applyNumberFormat="1" applyFont="1" applyFill="1" applyBorder="1" applyAlignment="1">
      <alignment horizontal="center"/>
    </xf>
    <xf numFmtId="0" fontId="34" fillId="3" borderId="24" xfId="0" applyFont="1" applyFill="1" applyBorder="1"/>
    <xf numFmtId="0" fontId="38" fillId="3" borderId="24" xfId="0" applyFont="1" applyFill="1" applyBorder="1"/>
    <xf numFmtId="10" fontId="23" fillId="0" borderId="14" xfId="2" applyNumberFormat="1" applyFont="1" applyFill="1" applyBorder="1"/>
    <xf numFmtId="10" fontId="23" fillId="0" borderId="14" xfId="2" applyNumberFormat="1" applyFont="1" applyFill="1" applyBorder="1" applyAlignment="1">
      <alignment horizontal="right"/>
    </xf>
    <xf numFmtId="2" fontId="24" fillId="0" borderId="14" xfId="0" applyNumberFormat="1" applyFont="1" applyBorder="1" applyAlignment="1">
      <alignment horizontal="center" vertical="center"/>
    </xf>
    <xf numFmtId="10" fontId="24" fillId="0" borderId="14" xfId="2" applyNumberFormat="1" applyFont="1" applyFill="1" applyBorder="1" applyAlignment="1">
      <alignment horizontal="center" vertical="center"/>
    </xf>
    <xf numFmtId="2" fontId="24" fillId="0" borderId="14" xfId="0" applyNumberFormat="1" applyFont="1" applyBorder="1" applyAlignment="1">
      <alignment horizontal="center"/>
    </xf>
    <xf numFmtId="10" fontId="24" fillId="0" borderId="14" xfId="2" applyNumberFormat="1" applyFont="1" applyFill="1" applyBorder="1" applyAlignment="1">
      <alignment horizontal="center"/>
    </xf>
    <xf numFmtId="0" fontId="36" fillId="0" borderId="14" xfId="0" applyFont="1" applyBorder="1" applyAlignment="1">
      <alignment horizontal="center"/>
    </xf>
    <xf numFmtId="10" fontId="38" fillId="0" borderId="14" xfId="2" applyNumberFormat="1" applyFont="1" applyFill="1" applyBorder="1"/>
    <xf numFmtId="10" fontId="24" fillId="0" borderId="30" xfId="2" applyNumberFormat="1" applyFont="1" applyFill="1" applyBorder="1" applyAlignment="1">
      <alignment horizontal="right"/>
    </xf>
    <xf numFmtId="10" fontId="24" fillId="0" borderId="32" xfId="0" applyNumberFormat="1" applyFont="1" applyBorder="1"/>
    <xf numFmtId="10" fontId="42" fillId="0" borderId="14" xfId="2" applyNumberFormat="1" applyFont="1" applyFill="1" applyBorder="1" applyAlignment="1">
      <alignment horizontal="center"/>
    </xf>
    <xf numFmtId="0" fontId="0" fillId="0" borderId="18" xfId="0" applyBorder="1"/>
    <xf numFmtId="43" fontId="0" fillId="0" borderId="0" xfId="1" applyFont="1"/>
    <xf numFmtId="43" fontId="0" fillId="0" borderId="0" xfId="0" applyNumberFormat="1"/>
    <xf numFmtId="0" fontId="46" fillId="0" borderId="0" xfId="6" applyFont="1"/>
    <xf numFmtId="0" fontId="44" fillId="0" borderId="7" xfId="0" applyFont="1" applyBorder="1" applyAlignment="1">
      <alignment horizontal="center" vertical="center"/>
    </xf>
    <xf numFmtId="10" fontId="44" fillId="0" borderId="0" xfId="2" applyNumberFormat="1" applyFont="1" applyFill="1" applyBorder="1" applyAlignment="1">
      <alignment horizontal="center" vertical="center"/>
    </xf>
    <xf numFmtId="0" fontId="44" fillId="3" borderId="25" xfId="0" applyFont="1" applyFill="1" applyBorder="1"/>
    <xf numFmtId="10" fontId="44" fillId="3" borderId="20" xfId="2" applyNumberFormat="1" applyFont="1" applyFill="1" applyBorder="1" applyAlignment="1">
      <alignment horizontal="center"/>
    </xf>
    <xf numFmtId="0" fontId="37" fillId="0" borderId="22" xfId="0" applyFont="1" applyBorder="1"/>
    <xf numFmtId="15" fontId="34" fillId="0" borderId="9" xfId="0" quotePrefix="1" applyNumberFormat="1" applyFont="1" applyBorder="1" applyAlignment="1">
      <alignment horizontal="center"/>
    </xf>
    <xf numFmtId="164" fontId="38" fillId="0" borderId="7" xfId="1" applyNumberFormat="1" applyFont="1" applyFill="1" applyBorder="1"/>
    <xf numFmtId="3" fontId="38" fillId="0" borderId="7" xfId="0" applyNumberFormat="1" applyFont="1" applyBorder="1"/>
    <xf numFmtId="3" fontId="38" fillId="0" borderId="8" xfId="0" applyNumberFormat="1" applyFont="1" applyBorder="1"/>
    <xf numFmtId="10" fontId="38" fillId="0" borderId="9" xfId="2" applyNumberFormat="1" applyFont="1" applyFill="1" applyBorder="1"/>
    <xf numFmtId="10" fontId="38" fillId="0" borderId="3" xfId="2" applyNumberFormat="1" applyFont="1" applyFill="1" applyBorder="1"/>
    <xf numFmtId="0" fontId="64" fillId="0" borderId="26" xfId="0" applyFont="1" applyBorder="1" applyAlignment="1">
      <alignment horizontal="center"/>
    </xf>
    <xf numFmtId="0" fontId="64" fillId="0" borderId="17" xfId="0" applyFont="1" applyBorder="1" applyAlignment="1">
      <alignment horizontal="center"/>
    </xf>
    <xf numFmtId="0" fontId="65" fillId="0" borderId="26" xfId="0" applyFont="1" applyBorder="1"/>
    <xf numFmtId="164" fontId="64" fillId="0" borderId="17" xfId="1" applyNumberFormat="1" applyFont="1" applyFill="1" applyBorder="1"/>
    <xf numFmtId="164" fontId="64" fillId="0" borderId="26" xfId="1" applyNumberFormat="1" applyFont="1" applyFill="1" applyBorder="1"/>
    <xf numFmtId="164" fontId="64" fillId="0" borderId="17" xfId="1" applyNumberFormat="1" applyFont="1" applyFill="1" applyBorder="1" applyAlignment="1">
      <alignment horizontal="center"/>
    </xf>
    <xf numFmtId="164" fontId="64" fillId="0" borderId="21" xfId="1" applyNumberFormat="1" applyFont="1" applyFill="1" applyBorder="1"/>
    <xf numFmtId="164" fontId="64" fillId="0" borderId="25" xfId="1" applyNumberFormat="1" applyFont="1" applyFill="1" applyBorder="1"/>
    <xf numFmtId="0" fontId="28" fillId="2" borderId="23" xfId="0" applyFont="1" applyFill="1" applyBorder="1" applyAlignment="1">
      <alignment horizontal="center"/>
    </xf>
    <xf numFmtId="10" fontId="22" fillId="2" borderId="9" xfId="2" applyNumberFormat="1" applyFont="1" applyFill="1" applyBorder="1" applyAlignment="1">
      <alignment horizontal="center"/>
    </xf>
    <xf numFmtId="10" fontId="22" fillId="2" borderId="9" xfId="1" applyNumberFormat="1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37" fillId="2" borderId="27" xfId="0" applyFont="1" applyFill="1" applyBorder="1" applyAlignment="1">
      <alignment horizontal="center"/>
    </xf>
    <xf numFmtId="0" fontId="19" fillId="2" borderId="42" xfId="0" applyFont="1" applyFill="1" applyBorder="1" applyAlignment="1">
      <alignment horizontal="center"/>
    </xf>
    <xf numFmtId="0" fontId="37" fillId="2" borderId="18" xfId="0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37" fillId="2" borderId="20" xfId="0" applyFont="1" applyFill="1" applyBorder="1" applyAlignment="1">
      <alignment horizontal="center"/>
    </xf>
    <xf numFmtId="0" fontId="57" fillId="2" borderId="14" xfId="0" applyFont="1" applyFill="1" applyBorder="1"/>
    <xf numFmtId="10" fontId="22" fillId="0" borderId="1" xfId="1" applyNumberFormat="1" applyFont="1" applyFill="1" applyBorder="1" applyAlignment="1"/>
    <xf numFmtId="10" fontId="22" fillId="0" borderId="0" xfId="1" applyNumberFormat="1" applyFont="1" applyFill="1" applyAlignment="1"/>
    <xf numFmtId="164" fontId="64" fillId="0" borderId="0" xfId="1" applyNumberFormat="1" applyFont="1" applyFill="1" applyBorder="1"/>
    <xf numFmtId="0" fontId="59" fillId="2" borderId="22" xfId="0" applyFont="1" applyFill="1" applyBorder="1" applyAlignment="1">
      <alignment horizontal="center" vertical="center" wrapText="1"/>
    </xf>
    <xf numFmtId="0" fontId="66" fillId="0" borderId="0" xfId="0" applyFont="1"/>
    <xf numFmtId="0" fontId="64" fillId="0" borderId="0" xfId="0" applyFont="1"/>
    <xf numFmtId="10" fontId="28" fillId="0" borderId="0" xfId="2" applyNumberFormat="1" applyFont="1" applyFill="1" applyBorder="1" applyAlignment="1">
      <alignment horizontal="center" vertical="center"/>
    </xf>
    <xf numFmtId="0" fontId="5" fillId="0" borderId="0" xfId="0" applyFont="1"/>
    <xf numFmtId="0" fontId="45" fillId="4" borderId="23" xfId="0" applyFont="1" applyFill="1" applyBorder="1" applyAlignment="1">
      <alignment horizontal="center"/>
    </xf>
    <xf numFmtId="0" fontId="45" fillId="4" borderId="25" xfId="0" applyFont="1" applyFill="1" applyBorder="1" applyAlignment="1">
      <alignment horizontal="center"/>
    </xf>
    <xf numFmtId="0" fontId="28" fillId="0" borderId="27" xfId="0" applyFont="1" applyBorder="1"/>
    <xf numFmtId="10" fontId="45" fillId="0" borderId="23" xfId="2" applyNumberFormat="1" applyFont="1" applyFill="1" applyBorder="1" applyAlignment="1">
      <alignment horizontal="center"/>
    </xf>
    <xf numFmtId="10" fontId="67" fillId="0" borderId="23" xfId="2" applyNumberFormat="1" applyFont="1" applyFill="1" applyBorder="1" applyAlignment="1">
      <alignment horizontal="center"/>
    </xf>
    <xf numFmtId="0" fontId="28" fillId="0" borderId="18" xfId="0" applyFont="1" applyBorder="1"/>
    <xf numFmtId="10" fontId="45" fillId="0" borderId="24" xfId="2" applyNumberFormat="1" applyFont="1" applyFill="1" applyBorder="1" applyAlignment="1">
      <alignment horizontal="center"/>
    </xf>
    <xf numFmtId="10" fontId="67" fillId="0" borderId="24" xfId="2" applyNumberFormat="1" applyFont="1" applyFill="1" applyBorder="1" applyAlignment="1">
      <alignment horizontal="center"/>
    </xf>
    <xf numFmtId="0" fontId="28" fillId="0" borderId="20" xfId="0" applyFont="1" applyBorder="1"/>
    <xf numFmtId="10" fontId="45" fillId="0" borderId="25" xfId="2" applyNumberFormat="1" applyFont="1" applyFill="1" applyBorder="1" applyAlignment="1">
      <alignment horizontal="center"/>
    </xf>
    <xf numFmtId="10" fontId="67" fillId="0" borderId="25" xfId="2" applyNumberFormat="1" applyFont="1" applyFill="1" applyBorder="1" applyAlignment="1">
      <alignment horizontal="center"/>
    </xf>
    <xf numFmtId="10" fontId="28" fillId="0" borderId="24" xfId="2" applyNumberFormat="1" applyFont="1" applyFill="1" applyBorder="1" applyAlignment="1">
      <alignment horizontal="center"/>
    </xf>
    <xf numFmtId="10" fontId="28" fillId="0" borderId="25" xfId="2" applyNumberFormat="1" applyFont="1" applyFill="1" applyBorder="1" applyAlignment="1">
      <alignment horizontal="center"/>
    </xf>
    <xf numFmtId="10" fontId="45" fillId="0" borderId="24" xfId="2" applyNumberFormat="1" applyFont="1" applyBorder="1" applyAlignment="1">
      <alignment horizontal="center" vertical="center"/>
    </xf>
    <xf numFmtId="10" fontId="45" fillId="0" borderId="25" xfId="2" applyNumberFormat="1" applyFont="1" applyBorder="1" applyAlignment="1">
      <alignment horizontal="center" vertical="center"/>
    </xf>
    <xf numFmtId="10" fontId="28" fillId="0" borderId="23" xfId="2" applyNumberFormat="1" applyFont="1" applyFill="1" applyBorder="1" applyAlignment="1">
      <alignment horizontal="center"/>
    </xf>
    <xf numFmtId="0" fontId="38" fillId="0" borderId="27" xfId="0" applyFont="1" applyBorder="1"/>
    <xf numFmtId="0" fontId="19" fillId="0" borderId="29" xfId="0" applyFont="1" applyBorder="1"/>
    <xf numFmtId="0" fontId="19" fillId="0" borderId="28" xfId="0" applyFont="1" applyBorder="1"/>
    <xf numFmtId="0" fontId="0" fillId="0" borderId="28" xfId="0" applyBorder="1"/>
    <xf numFmtId="0" fontId="38" fillId="0" borderId="18" xfId="0" applyFont="1" applyBorder="1"/>
    <xf numFmtId="0" fontId="0" fillId="0" borderId="19" xfId="0" applyBorder="1"/>
    <xf numFmtId="0" fontId="38" fillId="0" borderId="20" xfId="0" applyFont="1" applyBorder="1"/>
    <xf numFmtId="0" fontId="19" fillId="0" borderId="1" xfId="0" applyFont="1" applyBorder="1"/>
    <xf numFmtId="0" fontId="0" fillId="0" borderId="21" xfId="0" applyBorder="1"/>
    <xf numFmtId="10" fontId="34" fillId="0" borderId="27" xfId="2" applyNumberFormat="1" applyFont="1" applyBorder="1" applyAlignment="1">
      <alignment horizontal="left"/>
    </xf>
    <xf numFmtId="0" fontId="0" fillId="0" borderId="29" xfId="0" applyBorder="1"/>
    <xf numFmtId="0" fontId="70" fillId="0" borderId="20" xfId="6" applyFont="1" applyBorder="1"/>
    <xf numFmtId="0" fontId="64" fillId="0" borderId="0" xfId="0" applyFont="1" applyAlignment="1">
      <alignment vertical="center"/>
    </xf>
    <xf numFmtId="15" fontId="71" fillId="0" borderId="0" xfId="0" quotePrefix="1" applyNumberFormat="1" applyFont="1" applyAlignment="1">
      <alignment horizontal="left"/>
    </xf>
    <xf numFmtId="0" fontId="72" fillId="0" borderId="0" xfId="6" applyFont="1"/>
    <xf numFmtId="0" fontId="63" fillId="0" borderId="0" xfId="0" applyFont="1"/>
    <xf numFmtId="0" fontId="73" fillId="0" borderId="0" xfId="0" applyFont="1" applyAlignment="1">
      <alignment vertical="center"/>
    </xf>
    <xf numFmtId="0" fontId="74" fillId="0" borderId="0" xfId="6" applyFont="1" applyAlignment="1">
      <alignment vertical="center"/>
    </xf>
    <xf numFmtId="0" fontId="72" fillId="0" borderId="0" xfId="6" applyFont="1" applyAlignment="1">
      <alignment vertical="center"/>
    </xf>
    <xf numFmtId="0" fontId="71" fillId="0" borderId="0" xfId="6" applyFont="1"/>
    <xf numFmtId="17" fontId="73" fillId="0" borderId="0" xfId="0" quotePrefix="1" applyNumberFormat="1" applyFont="1" applyAlignment="1">
      <alignment vertical="center"/>
    </xf>
    <xf numFmtId="0" fontId="75" fillId="0" borderId="0" xfId="6" applyFont="1" applyAlignment="1">
      <alignment vertical="center"/>
    </xf>
    <xf numFmtId="0" fontId="75" fillId="0" borderId="0" xfId="0" applyFont="1"/>
    <xf numFmtId="0" fontId="76" fillId="0" borderId="0" xfId="0" applyFont="1" applyAlignment="1">
      <alignment vertical="center"/>
    </xf>
    <xf numFmtId="0" fontId="28" fillId="4" borderId="26" xfId="0" applyFont="1" applyFill="1" applyBorder="1" applyAlignment="1">
      <alignment horizontal="center"/>
    </xf>
    <xf numFmtId="0" fontId="0" fillId="0" borderId="27" xfId="0" applyBorder="1"/>
    <xf numFmtId="0" fontId="77" fillId="0" borderId="29" xfId="0" applyFont="1" applyBorder="1" applyAlignment="1">
      <alignment horizontal="right"/>
    </xf>
    <xf numFmtId="0" fontId="0" fillId="0" borderId="23" xfId="0" applyBorder="1"/>
    <xf numFmtId="0" fontId="78" fillId="0" borderId="0" xfId="0" applyFont="1" applyAlignment="1">
      <alignment horizontal="right"/>
    </xf>
    <xf numFmtId="10" fontId="28" fillId="0" borderId="24" xfId="2" applyNumberFormat="1" applyFont="1" applyBorder="1" applyAlignment="1">
      <alignment horizontal="center"/>
    </xf>
    <xf numFmtId="0" fontId="28" fillId="0" borderId="0" xfId="0" applyFont="1" applyAlignment="1">
      <alignment horizontal="right" indent="1"/>
    </xf>
    <xf numFmtId="0" fontId="77" fillId="0" borderId="0" xfId="0" applyFont="1" applyAlignment="1">
      <alignment horizontal="right"/>
    </xf>
    <xf numFmtId="0" fontId="19" fillId="0" borderId="24" xfId="0" applyFont="1" applyBorder="1" applyAlignment="1">
      <alignment horizontal="center"/>
    </xf>
    <xf numFmtId="10" fontId="24" fillId="5" borderId="14" xfId="2" applyNumberFormat="1" applyFont="1" applyFill="1" applyBorder="1" applyAlignment="1">
      <alignment horizontal="center"/>
    </xf>
    <xf numFmtId="0" fontId="77" fillId="0" borderId="0" xfId="0" applyFont="1" applyAlignment="1">
      <alignment horizontal="right" vertical="center"/>
    </xf>
    <xf numFmtId="10" fontId="77" fillId="0" borderId="24" xfId="0" applyNumberFormat="1" applyFont="1" applyBorder="1" applyAlignment="1">
      <alignment horizontal="center"/>
    </xf>
    <xf numFmtId="0" fontId="0" fillId="0" borderId="20" xfId="0" applyBorder="1"/>
    <xf numFmtId="0" fontId="77" fillId="0" borderId="1" xfId="0" applyFont="1" applyBorder="1" applyAlignment="1">
      <alignment horizontal="right" vertical="center"/>
    </xf>
    <xf numFmtId="10" fontId="77" fillId="0" borderId="25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0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49" fillId="0" borderId="0" xfId="0" applyNumberFormat="1" applyFont="1" applyAlignment="1">
      <alignment horizontal="left"/>
    </xf>
    <xf numFmtId="10" fontId="68" fillId="0" borderId="0" xfId="2" applyNumberFormat="1" applyFont="1" applyFill="1" applyBorder="1" applyAlignment="1">
      <alignment horizontal="left"/>
    </xf>
    <xf numFmtId="0" fontId="69" fillId="0" borderId="0" xfId="0" applyFont="1" applyAlignment="1">
      <alignment horizontal="left"/>
    </xf>
    <xf numFmtId="10" fontId="42" fillId="5" borderId="14" xfId="2" applyNumberFormat="1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0" fontId="80" fillId="0" borderId="0" xfId="0" applyFont="1"/>
    <xf numFmtId="164" fontId="44" fillId="0" borderId="3" xfId="1" applyNumberFormat="1" applyFont="1" applyFill="1" applyBorder="1"/>
    <xf numFmtId="10" fontId="81" fillId="0" borderId="14" xfId="2" applyNumberFormat="1" applyFont="1" applyFill="1" applyBorder="1" applyAlignment="1">
      <alignment horizontal="center"/>
    </xf>
    <xf numFmtId="44" fontId="22" fillId="0" borderId="18" xfId="3" applyFont="1" applyFill="1" applyBorder="1" applyAlignment="1">
      <alignment horizontal="right"/>
    </xf>
    <xf numFmtId="0" fontId="18" fillId="0" borderId="0" xfId="6" applyAlignment="1">
      <alignment vertical="center"/>
    </xf>
    <xf numFmtId="0" fontId="28" fillId="4" borderId="16" xfId="0" applyFont="1" applyFill="1" applyBorder="1" applyAlignment="1">
      <alignment horizontal="center"/>
    </xf>
    <xf numFmtId="0" fontId="28" fillId="4" borderId="44" xfId="0" applyFont="1" applyFill="1" applyBorder="1" applyAlignment="1">
      <alignment horizontal="center"/>
    </xf>
    <xf numFmtId="0" fontId="28" fillId="4" borderId="17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82" fillId="0" borderId="0" xfId="0" applyNumberFormat="1" applyFont="1" applyAlignment="1">
      <alignment horizontal="center"/>
    </xf>
    <xf numFmtId="0" fontId="83" fillId="0" borderId="2" xfId="0" applyFont="1" applyBorder="1"/>
    <xf numFmtId="0" fontId="84" fillId="0" borderId="0" xfId="0" applyFont="1"/>
    <xf numFmtId="0" fontId="85" fillId="0" borderId="2" xfId="0" applyFont="1" applyBorder="1"/>
    <xf numFmtId="10" fontId="82" fillId="0" borderId="0" xfId="2" applyNumberFormat="1" applyFont="1" applyFill="1" applyAlignment="1">
      <alignment horizontal="center"/>
    </xf>
    <xf numFmtId="10" fontId="82" fillId="0" borderId="0" xfId="2" applyNumberFormat="1" applyFont="1" applyFill="1" applyAlignment="1">
      <alignment horizontal="right"/>
    </xf>
    <xf numFmtId="2" fontId="85" fillId="0" borderId="0" xfId="0" applyNumberFormat="1" applyFont="1" applyAlignment="1">
      <alignment horizontal="center"/>
    </xf>
    <xf numFmtId="10" fontId="85" fillId="0" borderId="0" xfId="2" applyNumberFormat="1" applyFont="1" applyFill="1" applyAlignment="1">
      <alignment horizontal="center"/>
    </xf>
    <xf numFmtId="10" fontId="85" fillId="0" borderId="0" xfId="2" applyNumberFormat="1" applyFont="1" applyFill="1" applyAlignment="1">
      <alignment horizontal="right"/>
    </xf>
    <xf numFmtId="0" fontId="85" fillId="0" borderId="0" xfId="0" applyFont="1"/>
    <xf numFmtId="10" fontId="85" fillId="0" borderId="0" xfId="2" applyNumberFormat="1" applyFont="1" applyAlignment="1">
      <alignment horizontal="right"/>
    </xf>
    <xf numFmtId="10" fontId="85" fillId="0" borderId="4" xfId="2" applyNumberFormat="1" applyFont="1" applyFill="1" applyBorder="1" applyAlignment="1">
      <alignment horizontal="right"/>
    </xf>
    <xf numFmtId="10" fontId="85" fillId="0" borderId="4" xfId="2" applyNumberFormat="1" applyFont="1" applyFill="1" applyBorder="1" applyAlignment="1">
      <alignment horizontal="center"/>
    </xf>
    <xf numFmtId="10" fontId="85" fillId="0" borderId="4" xfId="2" applyNumberFormat="1" applyFont="1" applyBorder="1" applyAlignment="1">
      <alignment horizontal="right"/>
    </xf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371475</xdr:colOff>
      <xdr:row>60</xdr:row>
      <xdr:rowOff>57150</xdr:rowOff>
    </xdr:to>
    <xdr:pic>
      <xdr:nvPicPr>
        <xdr:cNvPr id="2" name="Picture 1" descr="ValueLine Industry Report dated February 13, 2026 page 301. Details Air Transport Industry economic and financial history and future perspective. ">
          <a:extLst>
            <a:ext uri="{FF2B5EF4-FFF2-40B4-BE49-F238E27FC236}">
              <a16:creationId xmlns:a16="http://schemas.microsoft.com/office/drawing/2014/main" id="{260861F6-989F-8640-4F5D-9A63704A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05875" cy="1148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;https:/papers.ssrn.com/sol3/papers.cfm?abstract_id=526046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view="pageBreakPreview" zoomScaleNormal="100" zoomScaleSheetLayoutView="100" workbookViewId="0">
      <selection activeCell="E9" sqref="E9"/>
    </sheetView>
  </sheetViews>
  <sheetFormatPr defaultRowHeight="15"/>
  <cols>
    <col min="5" max="5" width="12.42578125" customWidth="1"/>
    <col min="9" max="9" width="16.42578125" customWidth="1"/>
  </cols>
  <sheetData>
    <row r="1" spans="1:13" ht="18.75">
      <c r="A1" s="488" t="s">
        <v>0</v>
      </c>
      <c r="B1" s="489"/>
      <c r="C1" s="489"/>
      <c r="D1" s="489"/>
      <c r="E1" s="489"/>
      <c r="F1" s="489"/>
      <c r="G1" s="489"/>
      <c r="H1" s="489"/>
      <c r="I1" s="489"/>
    </row>
    <row r="5" spans="1:13" ht="27">
      <c r="E5" s="490" t="s">
        <v>0</v>
      </c>
      <c r="F5" s="491"/>
      <c r="G5" s="491"/>
      <c r="H5" s="491"/>
      <c r="I5" s="491"/>
      <c r="J5" s="491"/>
      <c r="K5" s="491"/>
      <c r="L5" s="491"/>
      <c r="M5" s="491"/>
    </row>
    <row r="7" spans="1:13" ht="27">
      <c r="A7" s="492" t="s">
        <v>30</v>
      </c>
      <c r="B7" s="493"/>
      <c r="C7" s="493"/>
      <c r="D7" s="493"/>
      <c r="E7" s="493"/>
      <c r="F7" s="493"/>
      <c r="G7" s="493"/>
      <c r="H7" s="493"/>
      <c r="I7" s="493"/>
    </row>
    <row r="8" spans="1:13" ht="27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">
      <c r="B9" s="7"/>
      <c r="C9" s="7"/>
      <c r="D9" s="7"/>
      <c r="E9" s="6" t="s">
        <v>464</v>
      </c>
      <c r="F9" s="7"/>
      <c r="G9" s="7"/>
      <c r="H9" s="7"/>
      <c r="I9" s="7"/>
    </row>
    <row r="15" spans="1:13">
      <c r="A15" s="485" t="s">
        <v>0</v>
      </c>
      <c r="B15" s="486"/>
      <c r="C15" s="486"/>
      <c r="D15" s="486"/>
      <c r="E15" s="486"/>
      <c r="F15" s="486"/>
      <c r="G15" s="486"/>
      <c r="H15" s="486"/>
      <c r="I15" s="486"/>
    </row>
    <row r="16" spans="1:13" ht="33.75">
      <c r="A16" s="483" t="str">
        <f>+'S&amp;D'!A12</f>
        <v>Air Passenger Carriers</v>
      </c>
      <c r="B16" s="484"/>
      <c r="C16" s="484"/>
      <c r="D16" s="484"/>
      <c r="E16" s="484"/>
      <c r="F16" s="484"/>
      <c r="G16" s="484"/>
      <c r="H16" s="484"/>
      <c r="I16" s="484"/>
    </row>
    <row r="17" spans="1:9">
      <c r="A17" s="485" t="s">
        <v>0</v>
      </c>
      <c r="B17" s="486"/>
      <c r="C17" s="486"/>
      <c r="D17" s="486"/>
      <c r="E17" s="486"/>
      <c r="F17" s="486"/>
      <c r="G17" s="486"/>
      <c r="H17" s="486"/>
      <c r="I17" s="486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85" t="s">
        <v>0</v>
      </c>
      <c r="B29" s="486"/>
      <c r="C29" s="486"/>
      <c r="D29" s="486"/>
      <c r="E29" s="486"/>
      <c r="F29" s="486"/>
      <c r="G29" s="486"/>
      <c r="H29" s="486"/>
      <c r="I29" s="486"/>
    </row>
    <row r="34" spans="1:9">
      <c r="A34" s="487" t="e" vm="1">
        <v>#VALUE!</v>
      </c>
      <c r="B34" s="487"/>
      <c r="C34" s="487"/>
      <c r="D34" s="487"/>
      <c r="E34" s="487"/>
      <c r="F34" s="487"/>
      <c r="G34" s="487"/>
      <c r="H34" s="487"/>
      <c r="I34" s="487"/>
    </row>
    <row r="35" spans="1:9">
      <c r="A35" s="487"/>
      <c r="B35" s="487"/>
      <c r="C35" s="487"/>
      <c r="D35" s="487"/>
      <c r="E35" s="487"/>
      <c r="F35" s="487"/>
      <c r="G35" s="487"/>
      <c r="H35" s="487"/>
      <c r="I35" s="487"/>
    </row>
    <row r="36" spans="1:9">
      <c r="A36" s="487"/>
      <c r="B36" s="487"/>
      <c r="C36" s="487"/>
      <c r="D36" s="487"/>
      <c r="E36" s="487"/>
      <c r="F36" s="487"/>
      <c r="G36" s="487"/>
      <c r="H36" s="487"/>
      <c r="I36" s="487"/>
    </row>
    <row r="37" spans="1:9">
      <c r="A37" s="487"/>
      <c r="B37" s="487"/>
      <c r="C37" s="487"/>
      <c r="D37" s="487"/>
      <c r="E37" s="487"/>
      <c r="F37" s="487"/>
      <c r="G37" s="487"/>
      <c r="H37" s="487"/>
      <c r="I37" s="487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1"/>
  <sheetViews>
    <sheetView view="pageBreakPreview" zoomScale="80" zoomScaleNormal="80" zoomScaleSheetLayoutView="80" workbookViewId="0">
      <selection activeCell="F24" sqref="F24"/>
    </sheetView>
  </sheetViews>
  <sheetFormatPr defaultRowHeight="15"/>
  <cols>
    <col min="1" max="1" width="22.42578125" customWidth="1"/>
    <col min="2" max="2" width="39.5703125" customWidth="1"/>
    <col min="3" max="3" width="16.85546875" customWidth="1"/>
    <col min="4" max="4" width="35.42578125" customWidth="1"/>
    <col min="5" max="5" width="18" customWidth="1"/>
    <col min="6" max="6" width="20.85546875" bestFit="1" customWidth="1"/>
    <col min="7" max="7" width="22" customWidth="1"/>
    <col min="8" max="8" width="23.5703125" customWidth="1"/>
  </cols>
  <sheetData>
    <row r="1" spans="1:11" ht="26.25">
      <c r="A1" s="21" t="s">
        <v>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C2" s="10"/>
      <c r="D2" s="10"/>
      <c r="E2" s="10"/>
      <c r="F2" s="10"/>
      <c r="G2" s="10"/>
      <c r="H2" s="10"/>
      <c r="I2" s="10"/>
      <c r="J2" s="10"/>
      <c r="K2" s="10"/>
    </row>
    <row r="3" spans="1:11" ht="17.25" customHeight="1">
      <c r="A3" s="23" t="s">
        <v>465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17.25" customHeight="1">
      <c r="B4" s="23"/>
      <c r="C4" s="10"/>
      <c r="D4" s="10"/>
      <c r="E4" s="10"/>
      <c r="F4" s="10"/>
      <c r="G4" s="10"/>
      <c r="H4" s="10"/>
      <c r="I4" s="10"/>
      <c r="J4" s="10"/>
      <c r="K4" s="10"/>
    </row>
    <row r="5" spans="1:11" ht="17.25" customHeight="1">
      <c r="B5" s="133"/>
      <c r="C5" s="10"/>
      <c r="D5" s="10"/>
      <c r="E5" s="10"/>
      <c r="F5" s="10"/>
      <c r="G5" s="10"/>
      <c r="H5" s="10"/>
      <c r="I5" s="10"/>
      <c r="J5" s="10"/>
      <c r="K5" s="10"/>
    </row>
    <row r="6" spans="1:11" ht="17.25" customHeight="1">
      <c r="B6" s="133"/>
      <c r="C6" s="10"/>
      <c r="D6" s="10"/>
      <c r="E6" s="10"/>
      <c r="F6" s="10"/>
      <c r="G6" s="10"/>
      <c r="H6" s="10"/>
      <c r="I6" s="10"/>
      <c r="J6" s="10"/>
      <c r="K6" s="10"/>
    </row>
    <row r="7" spans="1:11" ht="17.25" customHeight="1">
      <c r="B7" s="133"/>
      <c r="C7" s="10"/>
      <c r="D7" s="10"/>
      <c r="E7" s="10"/>
      <c r="F7" s="10"/>
      <c r="G7" s="10"/>
      <c r="H7" s="10"/>
      <c r="I7" s="10"/>
      <c r="J7" s="10"/>
      <c r="K7" s="10"/>
    </row>
    <row r="8" spans="1:11" ht="16.5">
      <c r="B8" s="23"/>
      <c r="C8" s="10"/>
      <c r="D8" s="10"/>
      <c r="E8" s="10"/>
      <c r="F8" s="10"/>
      <c r="G8" s="10"/>
      <c r="H8" s="10"/>
      <c r="I8" s="10"/>
      <c r="J8" s="10"/>
      <c r="K8" s="10"/>
    </row>
    <row r="9" spans="1:11" ht="20.25">
      <c r="B9" s="10"/>
      <c r="C9" s="10"/>
      <c r="D9" s="73" t="s">
        <v>0</v>
      </c>
      <c r="E9" s="10"/>
      <c r="F9" s="10"/>
      <c r="G9" s="10"/>
      <c r="H9" s="10"/>
      <c r="I9" s="10"/>
      <c r="J9" s="10"/>
      <c r="K9" s="10"/>
    </row>
    <row r="10" spans="1:11" ht="20.25">
      <c r="B10" s="10"/>
      <c r="C10" s="10"/>
      <c r="D10" s="73" t="s">
        <v>63</v>
      </c>
      <c r="E10" s="10"/>
      <c r="F10" s="10"/>
      <c r="G10" s="10"/>
      <c r="H10" s="10"/>
      <c r="I10" s="10"/>
      <c r="J10" s="10"/>
      <c r="K10" s="10"/>
    </row>
    <row r="11" spans="1:11" ht="16.5"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6.5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6.5">
      <c r="B13" s="10"/>
      <c r="C13" s="10"/>
      <c r="D13" s="10"/>
      <c r="E13" s="24"/>
      <c r="F13" s="10"/>
      <c r="G13" s="10"/>
      <c r="H13" s="10"/>
      <c r="I13" s="10"/>
      <c r="J13" s="10"/>
      <c r="K13" s="10"/>
    </row>
    <row r="14" spans="1:11" ht="16.5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7.25" thickBot="1">
      <c r="B15" s="10"/>
      <c r="C15" s="26"/>
      <c r="D15" s="26"/>
      <c r="E15" s="26"/>
      <c r="F15" s="10"/>
      <c r="G15" s="10"/>
      <c r="H15" s="10"/>
      <c r="I15" s="10"/>
      <c r="J15" s="10"/>
      <c r="K15" s="10"/>
    </row>
    <row r="16" spans="1:11" ht="26.25">
      <c r="B16" s="10"/>
      <c r="C16" s="10"/>
      <c r="D16" s="28" t="str">
        <f>+'S&amp;D'!A12</f>
        <v>Air Passenger Carriers</v>
      </c>
      <c r="E16" s="10"/>
      <c r="F16" s="10"/>
      <c r="G16" s="10"/>
      <c r="H16" s="10"/>
      <c r="I16" s="10"/>
      <c r="J16" s="10"/>
      <c r="K16" s="10"/>
    </row>
    <row r="17" spans="2:11" ht="17.25" thickBot="1">
      <c r="B17" s="10"/>
      <c r="C17" s="26"/>
      <c r="D17" s="33" t="s">
        <v>0</v>
      </c>
      <c r="E17" s="26"/>
      <c r="F17" s="10"/>
      <c r="G17" s="10"/>
      <c r="H17" s="10"/>
      <c r="I17" s="10"/>
      <c r="J17" s="10"/>
      <c r="K17" s="10"/>
    </row>
    <row r="18" spans="2:11" ht="17.25" thickBot="1">
      <c r="B18" s="26"/>
      <c r="C18" s="26"/>
      <c r="D18" s="33" t="s">
        <v>0</v>
      </c>
      <c r="E18" s="26"/>
      <c r="F18" s="26"/>
      <c r="G18" s="26"/>
      <c r="H18" s="10"/>
      <c r="I18" s="10"/>
      <c r="J18" s="10"/>
      <c r="K18" s="10"/>
    </row>
    <row r="19" spans="2:11" ht="16.5">
      <c r="B19" s="31" t="s">
        <v>31</v>
      </c>
      <c r="C19" s="31" t="s">
        <v>32</v>
      </c>
      <c r="D19" s="31" t="s">
        <v>33</v>
      </c>
      <c r="E19" s="31" t="s">
        <v>67</v>
      </c>
      <c r="F19" s="31" t="s">
        <v>33</v>
      </c>
      <c r="G19" s="31" t="s">
        <v>34</v>
      </c>
      <c r="H19" s="10"/>
      <c r="I19" s="10"/>
      <c r="J19" s="10"/>
      <c r="K19" s="10"/>
    </row>
    <row r="20" spans="2:11" ht="17.25" thickBot="1">
      <c r="B20" s="33" t="s">
        <v>32</v>
      </c>
      <c r="C20" s="33" t="s">
        <v>35</v>
      </c>
      <c r="D20" s="33" t="s">
        <v>36</v>
      </c>
      <c r="E20" s="33" t="s">
        <v>23</v>
      </c>
      <c r="F20" s="33" t="s">
        <v>37</v>
      </c>
      <c r="G20" s="33" t="s">
        <v>38</v>
      </c>
      <c r="H20" s="10"/>
      <c r="I20" s="10"/>
      <c r="J20" s="10"/>
      <c r="K20" s="10"/>
    </row>
    <row r="21" spans="2:11" ht="16.5">
      <c r="B21" s="35" t="s">
        <v>0</v>
      </c>
      <c r="C21" s="35" t="s">
        <v>0</v>
      </c>
      <c r="D21" s="35" t="s">
        <v>0</v>
      </c>
      <c r="E21" s="35" t="s">
        <v>0</v>
      </c>
      <c r="F21" s="35" t="s">
        <v>0</v>
      </c>
      <c r="G21" s="35" t="s">
        <v>0</v>
      </c>
      <c r="H21" s="10"/>
      <c r="I21" s="10"/>
      <c r="J21" s="10"/>
      <c r="K21" s="10"/>
    </row>
    <row r="22" spans="2:11" ht="16.5">
      <c r="B22" s="31"/>
      <c r="C22" s="31"/>
      <c r="D22" s="31"/>
      <c r="E22" s="31"/>
      <c r="F22" s="31"/>
      <c r="G22" s="31"/>
      <c r="H22" s="10"/>
      <c r="I22" s="10"/>
      <c r="J22" s="10"/>
      <c r="K22" s="10"/>
    </row>
    <row r="23" spans="2:11" ht="17.25">
      <c r="B23" s="85" t="s">
        <v>39</v>
      </c>
      <c r="C23" s="126">
        <f>'S&amp;D'!J52</f>
        <v>0.49</v>
      </c>
      <c r="D23" s="126">
        <f>+'Indicated Yield Equity Rate '!D53</f>
        <v>0.1244</v>
      </c>
      <c r="E23" s="98"/>
      <c r="F23" s="126">
        <f>+D23</f>
        <v>0.1244</v>
      </c>
      <c r="G23" s="127">
        <f>+F23*C23</f>
        <v>6.0955999999999996E-2</v>
      </c>
      <c r="H23" s="10"/>
      <c r="I23" s="10"/>
      <c r="J23" s="10"/>
      <c r="K23" s="10"/>
    </row>
    <row r="24" spans="2:11" ht="17.25">
      <c r="B24" s="85" t="s">
        <v>0</v>
      </c>
      <c r="C24" s="98" t="s">
        <v>0</v>
      </c>
      <c r="D24" s="98" t="s">
        <v>0</v>
      </c>
      <c r="E24" s="98" t="s">
        <v>0</v>
      </c>
      <c r="F24" s="494" t="s">
        <v>0</v>
      </c>
      <c r="G24" s="116" t="s">
        <v>0</v>
      </c>
      <c r="H24" s="10"/>
      <c r="I24" s="10"/>
      <c r="J24" s="10"/>
      <c r="K24" s="10"/>
    </row>
    <row r="25" spans="2:11" ht="17.25">
      <c r="B25" s="85" t="s">
        <v>41</v>
      </c>
      <c r="C25" s="126">
        <f>'S&amp;D'!K52</f>
        <v>0.51</v>
      </c>
      <c r="D25" s="126">
        <f>+Debt!J30</f>
        <v>7.7399999999999997E-2</v>
      </c>
      <c r="E25" s="126">
        <v>0.26</v>
      </c>
      <c r="F25" s="126">
        <f>+D25*(1-E25)</f>
        <v>5.7275999999999994E-2</v>
      </c>
      <c r="G25" s="127">
        <f>+C25*F25</f>
        <v>2.9210759999999999E-2</v>
      </c>
      <c r="H25" s="10"/>
      <c r="I25" s="10"/>
      <c r="J25" s="10"/>
      <c r="K25" s="10"/>
    </row>
    <row r="26" spans="2:11" ht="18" thickBot="1">
      <c r="B26" s="92" t="s">
        <v>0</v>
      </c>
      <c r="C26" s="92" t="s">
        <v>0</v>
      </c>
      <c r="D26" s="92" t="s">
        <v>0</v>
      </c>
      <c r="E26" s="92" t="s">
        <v>0</v>
      </c>
      <c r="F26" s="128" t="s">
        <v>0</v>
      </c>
      <c r="G26" s="129" t="s">
        <v>0</v>
      </c>
      <c r="H26" s="10"/>
      <c r="I26" s="10"/>
      <c r="J26" s="10"/>
      <c r="K26" s="10"/>
    </row>
    <row r="27" spans="2:11" ht="17.25">
      <c r="B27" s="85" t="s">
        <v>70</v>
      </c>
      <c r="C27" s="130">
        <f>+C23+C25</f>
        <v>1</v>
      </c>
      <c r="D27" s="85" t="s">
        <v>0</v>
      </c>
      <c r="E27" s="85" t="s">
        <v>0</v>
      </c>
      <c r="F27" s="131" t="s">
        <v>0</v>
      </c>
      <c r="G27" s="127">
        <f>+G23+G25</f>
        <v>9.0166759999999999E-2</v>
      </c>
      <c r="H27" s="10"/>
      <c r="I27" s="10"/>
      <c r="J27" s="10"/>
      <c r="K27" s="10"/>
    </row>
    <row r="28" spans="2:11" ht="18" thickBot="1">
      <c r="B28" s="58"/>
      <c r="C28" s="58"/>
      <c r="D28" s="58"/>
      <c r="E28" s="58"/>
      <c r="F28" s="58"/>
      <c r="G28" s="132"/>
      <c r="H28" s="10"/>
      <c r="I28" s="10"/>
      <c r="J28" s="10"/>
      <c r="K28" s="10"/>
    </row>
    <row r="29" spans="2:11" ht="18" thickBot="1">
      <c r="B29" s="10"/>
      <c r="C29" s="10"/>
      <c r="D29" s="10"/>
      <c r="E29" s="10"/>
      <c r="F29" s="175" t="s">
        <v>73</v>
      </c>
      <c r="G29" s="363">
        <v>9.0200000000000002E-2</v>
      </c>
      <c r="H29" s="10"/>
      <c r="I29" s="10"/>
      <c r="J29" s="10"/>
      <c r="K29" s="10"/>
    </row>
    <row r="30" spans="2:11" ht="16.5"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2:11" ht="16.5">
      <c r="B31" s="10"/>
      <c r="C31" s="10"/>
      <c r="D31" s="10"/>
      <c r="E31" s="10"/>
      <c r="F31" s="10"/>
      <c r="G31" s="10"/>
      <c r="H31" s="10"/>
      <c r="I31" s="10"/>
      <c r="J31" s="10"/>
      <c r="K31" s="10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topLeftCell="A39" zoomScale="80" zoomScaleNormal="80" zoomScaleSheetLayoutView="80" workbookViewId="0">
      <selection activeCell="F57" activeCellId="1" sqref="F24 F57"/>
    </sheetView>
  </sheetViews>
  <sheetFormatPr defaultRowHeight="15"/>
  <cols>
    <col min="1" max="1" width="17.42578125" customWidth="1"/>
    <col min="2" max="2" width="31.5703125" customWidth="1"/>
    <col min="3" max="3" width="16.5703125" customWidth="1"/>
    <col min="4" max="4" width="35.42578125" customWidth="1"/>
    <col min="5" max="5" width="14.85546875" customWidth="1"/>
    <col min="6" max="6" width="25.85546875" customWidth="1"/>
    <col min="7" max="7" width="24.140625" customWidth="1"/>
    <col min="8" max="8" width="17.5703125" customWidth="1"/>
  </cols>
  <sheetData>
    <row r="1" spans="1:11" ht="26.25">
      <c r="A1" s="21" t="s">
        <v>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C2" s="10"/>
      <c r="D2" s="10"/>
      <c r="E2" s="10"/>
      <c r="F2" s="10"/>
      <c r="G2" s="10"/>
      <c r="H2" s="10"/>
      <c r="I2" s="10"/>
      <c r="J2" s="10"/>
      <c r="K2" s="10"/>
    </row>
    <row r="3" spans="1:11" ht="16.5">
      <c r="A3" s="23" t="s">
        <v>465</v>
      </c>
      <c r="C3" s="10"/>
      <c r="D3" s="10"/>
      <c r="E3" s="10"/>
      <c r="F3" s="10"/>
      <c r="G3" s="10"/>
      <c r="H3" s="10"/>
      <c r="I3" s="10"/>
      <c r="J3" s="10"/>
      <c r="K3" s="10"/>
    </row>
    <row r="4" spans="1:11" ht="16.5">
      <c r="B4" s="23"/>
      <c r="C4" s="10"/>
      <c r="D4" s="10"/>
      <c r="E4" s="10"/>
      <c r="F4" s="10"/>
      <c r="G4" s="10"/>
      <c r="H4" s="10"/>
      <c r="I4" s="10"/>
      <c r="J4" s="10"/>
      <c r="K4" s="10"/>
    </row>
    <row r="5" spans="1:11" ht="16.5">
      <c r="B5" s="23"/>
      <c r="C5" s="10"/>
      <c r="D5" s="10"/>
      <c r="E5" s="10"/>
      <c r="F5" s="10"/>
      <c r="G5" s="10"/>
      <c r="H5" s="10"/>
      <c r="I5" s="10"/>
      <c r="J5" s="10"/>
      <c r="K5" s="10"/>
    </row>
    <row r="6" spans="1:11" ht="16.5">
      <c r="B6" s="23"/>
      <c r="C6" s="10"/>
      <c r="D6" s="10"/>
      <c r="E6" s="10"/>
      <c r="F6" s="10"/>
      <c r="G6" s="10"/>
      <c r="H6" s="10"/>
      <c r="I6" s="10"/>
      <c r="J6" s="10"/>
      <c r="K6" s="10"/>
    </row>
    <row r="7" spans="1:11" ht="16.5">
      <c r="B7" s="23"/>
      <c r="C7" s="10"/>
      <c r="D7" s="10"/>
      <c r="E7" s="10"/>
      <c r="F7" s="10"/>
      <c r="G7" s="10"/>
      <c r="H7" s="10"/>
      <c r="I7" s="10"/>
      <c r="J7" s="10"/>
      <c r="K7" s="10"/>
    </row>
    <row r="8" spans="1:11" ht="16.5">
      <c r="B8" s="23"/>
      <c r="C8" s="10"/>
      <c r="D8" s="10"/>
      <c r="E8" s="10"/>
      <c r="F8" s="10"/>
      <c r="G8" s="10"/>
      <c r="H8" s="10"/>
      <c r="I8" s="10"/>
      <c r="J8" s="10"/>
      <c r="K8" s="10"/>
    </row>
    <row r="9" spans="1:11" ht="16.5">
      <c r="B9" s="23"/>
      <c r="C9" s="10"/>
      <c r="D9" s="10"/>
      <c r="E9" s="10"/>
      <c r="F9" s="10"/>
      <c r="G9" s="10"/>
      <c r="H9" s="10"/>
      <c r="I9" s="10"/>
      <c r="J9" s="10"/>
      <c r="K9" s="10"/>
    </row>
    <row r="10" spans="1:11" ht="20.25">
      <c r="B10" s="10"/>
      <c r="C10" s="10"/>
      <c r="D10" s="73" t="s">
        <v>0</v>
      </c>
      <c r="E10" s="10"/>
      <c r="F10" s="10"/>
      <c r="G10" s="10"/>
      <c r="H10" s="10"/>
      <c r="I10" s="10"/>
      <c r="J10" s="10"/>
      <c r="K10" s="10"/>
    </row>
    <row r="11" spans="1:11" ht="20.25">
      <c r="B11" s="10"/>
      <c r="C11" s="10"/>
      <c r="D11" s="73" t="s">
        <v>62</v>
      </c>
      <c r="E11" s="10"/>
      <c r="F11" s="10"/>
      <c r="G11" s="10"/>
      <c r="H11" s="10"/>
      <c r="I11" s="10"/>
      <c r="J11" s="10"/>
      <c r="K11" s="10"/>
    </row>
    <row r="12" spans="1:11" ht="16.5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ht="16.5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7.25" thickBot="1">
      <c r="B14" s="10"/>
      <c r="C14" s="26"/>
      <c r="D14" s="26"/>
      <c r="E14" s="26"/>
      <c r="F14" s="10"/>
      <c r="G14" s="10"/>
      <c r="H14" s="10"/>
      <c r="I14" s="10"/>
      <c r="J14" s="10"/>
      <c r="K14" s="10"/>
    </row>
    <row r="15" spans="1:11" ht="26.25">
      <c r="B15" s="10"/>
      <c r="C15" s="10"/>
      <c r="D15" s="28" t="str">
        <f>+'S&amp;D'!A12</f>
        <v>Air Passenger Carriers</v>
      </c>
      <c r="E15" s="10"/>
      <c r="F15" s="10"/>
      <c r="G15" s="10"/>
      <c r="H15" s="10"/>
      <c r="I15" s="10"/>
      <c r="J15" s="10"/>
      <c r="K15" s="10"/>
    </row>
    <row r="16" spans="1:11" ht="21" thickBot="1">
      <c r="B16" s="10"/>
      <c r="C16" s="26"/>
      <c r="D16" s="125" t="s">
        <v>69</v>
      </c>
      <c r="E16" s="26"/>
      <c r="F16" s="10"/>
      <c r="G16" s="10"/>
      <c r="H16" s="10"/>
      <c r="I16" s="10"/>
      <c r="J16" s="10"/>
      <c r="K16" s="10"/>
    </row>
    <row r="17" spans="2:11" ht="16.5">
      <c r="H17" s="10"/>
      <c r="I17" s="10"/>
      <c r="J17" s="10"/>
      <c r="K17" s="10"/>
    </row>
    <row r="18" spans="2:11" ht="17.25" thickBot="1">
      <c r="B18" s="26"/>
      <c r="C18" s="26"/>
      <c r="D18" s="33" t="s">
        <v>0</v>
      </c>
      <c r="E18" s="26"/>
      <c r="F18" s="26"/>
      <c r="G18" s="26"/>
      <c r="H18" s="10"/>
      <c r="I18" s="10"/>
      <c r="J18" s="10"/>
      <c r="K18" s="10"/>
    </row>
    <row r="19" spans="2:11" ht="16.5">
      <c r="B19" s="31" t="s">
        <v>31</v>
      </c>
      <c r="C19" s="31" t="s">
        <v>32</v>
      </c>
      <c r="D19" s="31" t="s">
        <v>66</v>
      </c>
      <c r="E19" s="31" t="s">
        <v>67</v>
      </c>
      <c r="F19" s="31" t="s">
        <v>65</v>
      </c>
      <c r="G19" s="31" t="s">
        <v>34</v>
      </c>
      <c r="H19" s="10"/>
      <c r="I19" s="10"/>
      <c r="J19" s="10"/>
      <c r="K19" s="10"/>
    </row>
    <row r="20" spans="2:11" ht="17.25" thickBot="1">
      <c r="B20" s="33" t="s">
        <v>32</v>
      </c>
      <c r="C20" s="33" t="s">
        <v>35</v>
      </c>
      <c r="D20" s="33" t="s">
        <v>36</v>
      </c>
      <c r="E20" s="33" t="s">
        <v>23</v>
      </c>
      <c r="F20" s="33" t="s">
        <v>37</v>
      </c>
      <c r="G20" s="33" t="s">
        <v>68</v>
      </c>
      <c r="H20" s="10"/>
      <c r="I20" s="10"/>
      <c r="J20" s="10"/>
      <c r="K20" s="10"/>
    </row>
    <row r="21" spans="2:11" ht="16.5">
      <c r="B21" s="35" t="s">
        <v>0</v>
      </c>
      <c r="C21" s="35" t="s">
        <v>0</v>
      </c>
      <c r="D21" s="35" t="s">
        <v>0</v>
      </c>
      <c r="E21" s="35" t="s">
        <v>0</v>
      </c>
      <c r="F21" s="35" t="s">
        <v>0</v>
      </c>
      <c r="G21" s="35" t="s">
        <v>0</v>
      </c>
      <c r="H21" s="10"/>
      <c r="I21" s="10"/>
      <c r="J21" s="10"/>
      <c r="K21" s="10"/>
    </row>
    <row r="22" spans="2:11" ht="16.5">
      <c r="B22" s="31"/>
      <c r="C22" s="31"/>
      <c r="D22" s="31"/>
      <c r="E22" s="31"/>
      <c r="F22" s="31"/>
      <c r="G22" s="31"/>
      <c r="H22" s="10"/>
      <c r="I22" s="10"/>
      <c r="J22" s="10"/>
      <c r="K22" s="10"/>
    </row>
    <row r="23" spans="2:11" ht="17.25">
      <c r="B23" s="85" t="s">
        <v>39</v>
      </c>
      <c r="C23" s="126">
        <f>'S&amp;D'!J52</f>
        <v>0.49</v>
      </c>
      <c r="D23" s="126">
        <f>+'Direct NOPAT'!J33</f>
        <v>0.11449999999999999</v>
      </c>
      <c r="E23" s="98" t="s">
        <v>40</v>
      </c>
      <c r="F23" s="126">
        <f>+D23</f>
        <v>0.11449999999999999</v>
      </c>
      <c r="G23" s="127">
        <f>+F23*C23</f>
        <v>5.6104999999999995E-2</v>
      </c>
      <c r="H23" s="10"/>
      <c r="I23" s="10"/>
    </row>
    <row r="24" spans="2:11" ht="17.25">
      <c r="B24" s="85" t="s">
        <v>0</v>
      </c>
      <c r="C24" s="98" t="s">
        <v>0</v>
      </c>
      <c r="D24" s="98" t="s">
        <v>0</v>
      </c>
      <c r="E24" s="98" t="s">
        <v>0</v>
      </c>
      <c r="F24" s="494" t="s">
        <v>0</v>
      </c>
      <c r="G24" s="116" t="s">
        <v>0</v>
      </c>
      <c r="H24" s="10"/>
      <c r="I24" s="10"/>
    </row>
    <row r="25" spans="2:11" ht="17.25">
      <c r="B25" s="85" t="s">
        <v>41</v>
      </c>
      <c r="C25" s="126">
        <f>'S&amp;D'!K52</f>
        <v>0.51</v>
      </c>
      <c r="D25" s="126">
        <f>+Debt!J30</f>
        <v>7.7399999999999997E-2</v>
      </c>
      <c r="E25" s="126">
        <v>0.26</v>
      </c>
      <c r="F25" s="126">
        <f>+D25*(1-E25)</f>
        <v>5.7275999999999994E-2</v>
      </c>
      <c r="G25" s="127">
        <f>+C25*F25</f>
        <v>2.9210759999999999E-2</v>
      </c>
      <c r="H25" s="10"/>
      <c r="I25" s="10"/>
    </row>
    <row r="26" spans="2:11" ht="18" thickBot="1">
      <c r="B26" s="92" t="s">
        <v>0</v>
      </c>
      <c r="C26" s="92" t="s">
        <v>0</v>
      </c>
      <c r="D26" s="92" t="s">
        <v>0</v>
      </c>
      <c r="E26" s="92" t="s">
        <v>0</v>
      </c>
      <c r="F26" s="128" t="s">
        <v>0</v>
      </c>
      <c r="G26" s="129" t="s">
        <v>0</v>
      </c>
      <c r="H26" s="10"/>
      <c r="I26" s="10"/>
    </row>
    <row r="27" spans="2:11" ht="17.25">
      <c r="B27" s="85" t="s">
        <v>42</v>
      </c>
      <c r="C27" s="130">
        <f>+C23+C25</f>
        <v>1</v>
      </c>
      <c r="D27" s="85" t="s">
        <v>0</v>
      </c>
      <c r="E27" s="85" t="s">
        <v>0</v>
      </c>
      <c r="F27" s="131" t="s">
        <v>0</v>
      </c>
      <c r="G27" s="127">
        <f>+G23+G25</f>
        <v>8.531575999999999E-2</v>
      </c>
      <c r="H27" s="10"/>
      <c r="I27" s="10"/>
    </row>
    <row r="28" spans="2:11" ht="18" thickBot="1">
      <c r="B28" s="58"/>
      <c r="C28" s="58"/>
      <c r="D28" s="58"/>
      <c r="E28" s="58"/>
      <c r="F28" s="58"/>
      <c r="G28" s="132"/>
      <c r="H28" s="10"/>
      <c r="I28" s="10"/>
    </row>
    <row r="29" spans="2:11" ht="18" thickBot="1">
      <c r="B29" s="10"/>
      <c r="C29" s="10"/>
      <c r="D29" s="10"/>
      <c r="E29" s="10"/>
      <c r="F29" s="175" t="s">
        <v>73</v>
      </c>
      <c r="G29" s="363">
        <v>8.5300000000000001E-2</v>
      </c>
      <c r="H29" s="10"/>
      <c r="I29" s="10"/>
    </row>
    <row r="30" spans="2:11" ht="18" thickBot="1">
      <c r="B30" s="10"/>
      <c r="C30" s="10"/>
      <c r="D30" s="10"/>
      <c r="E30" s="10"/>
      <c r="F30" s="131"/>
      <c r="G30" s="127"/>
      <c r="H30" s="10"/>
      <c r="I30" s="10"/>
    </row>
    <row r="31" spans="2:11" ht="18" thickBot="1">
      <c r="B31" s="10"/>
      <c r="C31" s="10"/>
      <c r="D31" s="10"/>
      <c r="E31" s="10"/>
      <c r="F31" s="175" t="s">
        <v>221</v>
      </c>
      <c r="G31" s="201">
        <f>1/G29</f>
        <v>11.723329425556859</v>
      </c>
      <c r="H31" s="10"/>
      <c r="I31" s="10"/>
      <c r="J31" s="10"/>
      <c r="K31" s="10"/>
    </row>
    <row r="32" spans="2:11" ht="17.25">
      <c r="B32" s="10"/>
      <c r="C32" s="10"/>
      <c r="D32" s="10"/>
      <c r="E32" s="10"/>
      <c r="F32" s="131"/>
      <c r="G32" s="127"/>
      <c r="H32" s="10"/>
      <c r="I32" s="10"/>
      <c r="J32" s="10"/>
      <c r="K32" s="10"/>
    </row>
    <row r="33" spans="1:11" ht="17.25">
      <c r="B33" s="10"/>
      <c r="C33" s="10"/>
      <c r="D33" s="10"/>
      <c r="E33" s="10"/>
      <c r="F33" s="131"/>
      <c r="G33" s="127"/>
      <c r="H33" s="10"/>
      <c r="I33" s="10"/>
      <c r="J33" s="10"/>
      <c r="K33" s="10"/>
    </row>
    <row r="34" spans="1:11" ht="26.25">
      <c r="A34" s="21" t="s">
        <v>1</v>
      </c>
      <c r="C34" s="10"/>
      <c r="D34" s="10"/>
      <c r="E34" s="10"/>
      <c r="F34" s="131"/>
      <c r="G34" s="127"/>
      <c r="H34" s="10"/>
      <c r="I34" s="10"/>
      <c r="J34" s="10"/>
      <c r="K34" s="10"/>
    </row>
    <row r="35" spans="1:11" ht="17.25">
      <c r="A35" s="22" t="s">
        <v>9</v>
      </c>
      <c r="C35" s="10"/>
      <c r="D35" s="10"/>
      <c r="E35" s="10"/>
      <c r="F35" s="131"/>
      <c r="G35" s="127"/>
      <c r="H35" s="10"/>
      <c r="I35" s="10"/>
      <c r="J35" s="10"/>
      <c r="K35" s="10"/>
    </row>
    <row r="36" spans="1:11" ht="17.25">
      <c r="A36" s="23" t="s">
        <v>465</v>
      </c>
      <c r="C36" s="10"/>
      <c r="D36" s="10"/>
      <c r="E36" s="10"/>
      <c r="F36" s="131"/>
      <c r="G36" s="127"/>
      <c r="H36" s="10"/>
      <c r="I36" s="10"/>
      <c r="J36" s="10"/>
      <c r="K36" s="10"/>
    </row>
    <row r="37" spans="1:11" ht="17.25">
      <c r="A37" s="23"/>
      <c r="C37" s="10"/>
      <c r="D37" s="10"/>
      <c r="E37" s="10"/>
      <c r="F37" s="131"/>
      <c r="G37" s="127"/>
      <c r="H37" s="10"/>
      <c r="I37" s="10"/>
      <c r="J37" s="10"/>
      <c r="K37" s="10"/>
    </row>
    <row r="38" spans="1:11" ht="17.25">
      <c r="A38" s="23"/>
      <c r="C38" s="10"/>
      <c r="D38" s="10"/>
      <c r="E38" s="10"/>
      <c r="F38" s="131"/>
      <c r="G38" s="127"/>
      <c r="H38" s="10"/>
      <c r="I38" s="10"/>
      <c r="J38" s="10"/>
      <c r="K38" s="10"/>
    </row>
    <row r="39" spans="1:11" ht="17.25">
      <c r="A39" s="23"/>
      <c r="C39" s="10"/>
      <c r="D39" s="10"/>
      <c r="E39" s="10"/>
      <c r="F39" s="131"/>
      <c r="G39" s="127"/>
      <c r="H39" s="10"/>
      <c r="I39" s="10"/>
      <c r="J39" s="10"/>
      <c r="K39" s="10"/>
    </row>
    <row r="40" spans="1:11" ht="17.25">
      <c r="A40" s="23"/>
      <c r="C40" s="10"/>
      <c r="D40" s="10"/>
      <c r="E40" s="10"/>
      <c r="F40" s="131"/>
      <c r="G40" s="127"/>
      <c r="H40" s="10"/>
      <c r="I40" s="10"/>
      <c r="J40" s="10"/>
      <c r="K40" s="10"/>
    </row>
    <row r="41" spans="1:11" ht="17.25">
      <c r="A41" s="23"/>
      <c r="C41" s="10"/>
      <c r="D41" s="10"/>
      <c r="E41" s="10"/>
      <c r="F41" s="131"/>
      <c r="G41" s="127"/>
      <c r="H41" s="10"/>
      <c r="I41" s="10"/>
      <c r="J41" s="10"/>
      <c r="K41" s="10"/>
    </row>
    <row r="42" spans="1:11" ht="17.25">
      <c r="A42" s="23"/>
      <c r="C42" s="10"/>
      <c r="D42" s="10"/>
      <c r="E42" s="10"/>
      <c r="F42" s="131"/>
      <c r="G42" s="127"/>
      <c r="H42" s="10"/>
      <c r="I42" s="10"/>
      <c r="J42" s="10"/>
      <c r="K42" s="10"/>
    </row>
    <row r="43" spans="1:11" ht="17.25">
      <c r="A43" s="23"/>
      <c r="C43" s="10"/>
      <c r="D43" s="10"/>
      <c r="E43" s="10"/>
      <c r="F43" s="131"/>
      <c r="G43" s="127"/>
      <c r="H43" s="10"/>
      <c r="I43" s="10"/>
      <c r="J43" s="10"/>
      <c r="K43" s="10"/>
    </row>
    <row r="44" spans="1:11" ht="20.25">
      <c r="A44" s="23"/>
      <c r="C44" s="10"/>
      <c r="D44" s="73" t="s">
        <v>62</v>
      </c>
      <c r="E44" s="10"/>
      <c r="F44" s="131"/>
      <c r="G44" s="127"/>
      <c r="H44" s="10"/>
      <c r="I44" s="10"/>
      <c r="J44" s="10"/>
      <c r="K44" s="10"/>
    </row>
    <row r="45" spans="1:11" ht="20.25">
      <c r="A45" s="23"/>
      <c r="C45" s="10"/>
      <c r="D45" s="73"/>
      <c r="E45" s="10"/>
      <c r="F45" s="131"/>
      <c r="G45" s="127"/>
      <c r="H45" s="10"/>
      <c r="I45" s="10"/>
      <c r="J45" s="10"/>
      <c r="K45" s="10"/>
    </row>
    <row r="46" spans="1:11" ht="20.25">
      <c r="A46" s="23"/>
      <c r="C46" s="10"/>
      <c r="D46" s="73"/>
      <c r="E46" s="10"/>
      <c r="F46" s="131"/>
      <c r="G46" s="127"/>
      <c r="H46" s="10"/>
      <c r="I46" s="10"/>
      <c r="J46" s="10"/>
      <c r="K46" s="10"/>
    </row>
    <row r="47" spans="1:11" ht="17.25" thickBot="1">
      <c r="B47" s="10"/>
      <c r="C47" s="26"/>
      <c r="D47" s="26"/>
      <c r="E47" s="26"/>
      <c r="F47" s="10"/>
      <c r="G47" s="10"/>
      <c r="H47" s="10"/>
      <c r="I47" s="10"/>
      <c r="J47" s="10"/>
      <c r="K47" s="10"/>
    </row>
    <row r="48" spans="1:11" ht="26.25">
      <c r="B48" s="10"/>
      <c r="C48" s="10"/>
      <c r="D48" s="28" t="str">
        <f>+D15</f>
        <v>Air Passenger Carriers</v>
      </c>
      <c r="E48" s="10"/>
      <c r="F48" s="10"/>
      <c r="G48" s="10"/>
      <c r="H48" s="10"/>
      <c r="I48" s="10"/>
      <c r="J48" s="10"/>
      <c r="K48" s="10"/>
    </row>
    <row r="49" spans="2:11" ht="21" thickBot="1">
      <c r="B49" s="10"/>
      <c r="C49" s="26"/>
      <c r="D49" s="125" t="s">
        <v>64</v>
      </c>
      <c r="E49" s="26"/>
      <c r="F49" s="10"/>
      <c r="G49" s="10"/>
      <c r="H49" s="10"/>
      <c r="I49" s="10"/>
      <c r="J49" s="10"/>
      <c r="K49" s="10"/>
    </row>
    <row r="50" spans="2:11" ht="16.5"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2:11" ht="17.25" thickBot="1">
      <c r="B51" s="26"/>
      <c r="C51" s="26"/>
      <c r="D51" s="33" t="s">
        <v>0</v>
      </c>
      <c r="E51" s="26"/>
      <c r="F51" s="26"/>
      <c r="G51" s="26"/>
      <c r="H51" s="10"/>
      <c r="I51" s="10"/>
      <c r="J51" s="10"/>
      <c r="K51" s="10"/>
    </row>
    <row r="52" spans="2:11" ht="16.5">
      <c r="B52" s="31" t="s">
        <v>31</v>
      </c>
      <c r="C52" s="31" t="s">
        <v>32</v>
      </c>
      <c r="D52" s="31" t="s">
        <v>66</v>
      </c>
      <c r="E52" s="31" t="s">
        <v>67</v>
      </c>
      <c r="F52" s="31" t="s">
        <v>65</v>
      </c>
      <c r="G52" s="31" t="s">
        <v>34</v>
      </c>
      <c r="H52" s="10"/>
      <c r="I52" s="10"/>
      <c r="J52" s="10"/>
      <c r="K52" s="10"/>
    </row>
    <row r="53" spans="2:11" ht="17.25" thickBot="1">
      <c r="B53" s="33" t="s">
        <v>32</v>
      </c>
      <c r="C53" s="33" t="s">
        <v>35</v>
      </c>
      <c r="D53" s="33" t="s">
        <v>36</v>
      </c>
      <c r="E53" s="33" t="s">
        <v>23</v>
      </c>
      <c r="F53" s="33" t="s">
        <v>37</v>
      </c>
      <c r="G53" s="33" t="s">
        <v>68</v>
      </c>
      <c r="H53" s="10"/>
      <c r="I53" s="10"/>
      <c r="J53" s="10"/>
      <c r="K53" s="10"/>
    </row>
    <row r="54" spans="2:11" ht="16.5">
      <c r="B54" s="35" t="s">
        <v>0</v>
      </c>
      <c r="C54" s="35" t="s">
        <v>0</v>
      </c>
      <c r="D54" s="35" t="s">
        <v>0</v>
      </c>
      <c r="E54" s="35" t="s">
        <v>0</v>
      </c>
      <c r="F54" s="35" t="s">
        <v>0</v>
      </c>
      <c r="G54" s="35" t="s">
        <v>0</v>
      </c>
      <c r="H54" s="10"/>
      <c r="I54" s="10"/>
      <c r="J54" s="10"/>
      <c r="K54" s="10"/>
    </row>
    <row r="55" spans="2:11" ht="16.5">
      <c r="B55" s="31"/>
      <c r="C55" s="31"/>
      <c r="D55" s="31"/>
      <c r="E55" s="31"/>
      <c r="F55" s="31"/>
      <c r="G55" s="31"/>
      <c r="H55" s="10"/>
      <c r="I55" s="10"/>
      <c r="J55" s="10"/>
      <c r="K55" s="10"/>
    </row>
    <row r="56" spans="2:11" ht="17.25">
      <c r="B56" s="85" t="s">
        <v>39</v>
      </c>
      <c r="C56" s="126">
        <f>'S&amp;D'!J52</f>
        <v>0.49</v>
      </c>
      <c r="D56" s="126">
        <f>'Direct GCF'!H33</f>
        <v>0.24764999999999998</v>
      </c>
      <c r="E56" s="98"/>
      <c r="F56" s="126">
        <f>+D56</f>
        <v>0.24764999999999998</v>
      </c>
      <c r="G56" s="127">
        <f>+F56*C56</f>
        <v>0.12134849999999998</v>
      </c>
      <c r="H56" s="10"/>
      <c r="I56" s="10"/>
    </row>
    <row r="57" spans="2:11" ht="17.25">
      <c r="B57" s="85" t="s">
        <v>0</v>
      </c>
      <c r="C57" s="98" t="s">
        <v>0</v>
      </c>
      <c r="D57" s="98" t="s">
        <v>0</v>
      </c>
      <c r="E57" s="98" t="s">
        <v>0</v>
      </c>
      <c r="F57" s="494" t="s">
        <v>0</v>
      </c>
      <c r="G57" s="116" t="s">
        <v>0</v>
      </c>
      <c r="H57" s="10"/>
      <c r="I57" s="10"/>
    </row>
    <row r="58" spans="2:11" ht="17.25">
      <c r="B58" s="85" t="s">
        <v>41</v>
      </c>
      <c r="C58" s="126">
        <f>'S&amp;D'!K52</f>
        <v>0.51</v>
      </c>
      <c r="D58" s="126">
        <f>+Debt!J30</f>
        <v>7.7399999999999997E-2</v>
      </c>
      <c r="E58" s="126">
        <v>0.26</v>
      </c>
      <c r="F58" s="126">
        <f>+D58*(1-E58)</f>
        <v>5.7275999999999994E-2</v>
      </c>
      <c r="G58" s="127">
        <f>+C58*F58</f>
        <v>2.9210759999999999E-2</v>
      </c>
      <c r="H58" s="10"/>
      <c r="I58" s="10"/>
    </row>
    <row r="59" spans="2:11" ht="18" thickBot="1">
      <c r="B59" s="92" t="s">
        <v>0</v>
      </c>
      <c r="C59" s="92" t="s">
        <v>0</v>
      </c>
      <c r="D59" s="92" t="s">
        <v>0</v>
      </c>
      <c r="E59" s="92" t="s">
        <v>0</v>
      </c>
      <c r="F59" s="128" t="s">
        <v>0</v>
      </c>
      <c r="G59" s="129" t="s">
        <v>0</v>
      </c>
      <c r="H59" s="10"/>
      <c r="I59" s="10"/>
    </row>
    <row r="60" spans="2:11" ht="17.25">
      <c r="B60" s="85" t="s">
        <v>42</v>
      </c>
      <c r="C60" s="130">
        <f>+C56+C58</f>
        <v>1</v>
      </c>
      <c r="D60" s="85" t="s">
        <v>0</v>
      </c>
      <c r="E60" s="85" t="s">
        <v>0</v>
      </c>
      <c r="F60" s="131" t="s">
        <v>0</v>
      </c>
      <c r="G60" s="127">
        <f>+G56+G58</f>
        <v>0.15055925999999997</v>
      </c>
      <c r="H60" s="10"/>
      <c r="I60" s="10"/>
    </row>
    <row r="61" spans="2:11" ht="18" thickBot="1">
      <c r="B61" s="58"/>
      <c r="C61" s="58"/>
      <c r="D61" s="58"/>
      <c r="E61" s="58"/>
      <c r="F61" s="58"/>
      <c r="G61" s="132"/>
      <c r="H61" s="10"/>
      <c r="I61" s="10"/>
    </row>
    <row r="62" spans="2:11" ht="18" thickBot="1">
      <c r="B62" s="10"/>
      <c r="C62" s="10"/>
      <c r="D62" s="10"/>
      <c r="E62" s="10"/>
      <c r="F62" s="175" t="s">
        <v>73</v>
      </c>
      <c r="G62" s="363">
        <v>0.15060000000000001</v>
      </c>
      <c r="H62" s="10"/>
      <c r="I62" s="10"/>
    </row>
    <row r="63" spans="2:11" ht="15.75" thickBot="1"/>
    <row r="64" spans="2:11" ht="18" thickBot="1">
      <c r="F64" s="175" t="s">
        <v>221</v>
      </c>
      <c r="G64" s="201">
        <f>1/G62</f>
        <v>6.6401062416998666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L77"/>
  <sheetViews>
    <sheetView view="pageBreakPreview" topLeftCell="A4" zoomScale="60" zoomScaleNormal="80" zoomScalePageLayoutView="70" workbookViewId="0">
      <pane xSplit="1" topLeftCell="B1" activePane="topRight" state="frozen"/>
      <selection pane="topRight" activeCell="A70" activeCellId="1" sqref="F4:F5 A70"/>
    </sheetView>
  </sheetViews>
  <sheetFormatPr defaultRowHeight="15"/>
  <cols>
    <col min="1" max="1" width="63" customWidth="1"/>
    <col min="2" max="2" width="11.5703125" bestFit="1" customWidth="1"/>
    <col min="3" max="3" width="20.42578125" bestFit="1" customWidth="1"/>
    <col min="4" max="4" width="25.5703125" bestFit="1" customWidth="1"/>
    <col min="5" max="5" width="28" customWidth="1"/>
    <col min="6" max="7" width="29.140625" customWidth="1"/>
    <col min="8" max="8" width="31.85546875" customWidth="1"/>
    <col min="9" max="9" width="27.140625" customWidth="1"/>
    <col min="10" max="10" width="30.85546875" customWidth="1"/>
    <col min="11" max="11" width="28.5703125" customWidth="1"/>
    <col min="12" max="12" width="25.85546875" bestFit="1" customWidth="1"/>
    <col min="13" max="13" width="30.140625" bestFit="1" customWidth="1"/>
    <col min="14" max="14" width="9.140625" customWidth="1"/>
  </cols>
  <sheetData>
    <row r="1" spans="1:12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ht="16.5">
      <c r="A3" s="23" t="s">
        <v>465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2" ht="16.5">
      <c r="A4" s="23"/>
      <c r="B4" s="10"/>
      <c r="C4" s="10"/>
      <c r="D4" s="10"/>
      <c r="E4" s="10"/>
      <c r="F4" s="496" t="s">
        <v>0</v>
      </c>
      <c r="G4" s="10"/>
      <c r="H4" s="10"/>
      <c r="I4" s="10"/>
      <c r="J4" s="10"/>
      <c r="K4" s="10"/>
    </row>
    <row r="5" spans="1:12" ht="16.5">
      <c r="B5" s="10"/>
      <c r="C5" s="10"/>
      <c r="D5" s="10"/>
      <c r="E5" s="24"/>
      <c r="F5" s="496" t="s">
        <v>0</v>
      </c>
      <c r="G5" s="10"/>
      <c r="H5" s="10"/>
      <c r="I5" s="10"/>
      <c r="J5" s="10"/>
      <c r="K5" s="10" t="s">
        <v>0</v>
      </c>
    </row>
    <row r="6" spans="1:12" ht="16.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16.5">
      <c r="A7" s="10"/>
      <c r="B7" s="31"/>
      <c r="C7" s="31"/>
      <c r="D7" s="31"/>
      <c r="E7" s="31"/>
      <c r="F7" s="31"/>
      <c r="G7" s="12"/>
      <c r="H7" s="40"/>
      <c r="I7" s="40"/>
      <c r="J7" s="80"/>
      <c r="K7" s="80"/>
      <c r="L7" s="3"/>
    </row>
    <row r="8" spans="1:12" ht="16.5">
      <c r="A8" s="81"/>
      <c r="B8" s="31"/>
      <c r="C8" s="31"/>
      <c r="D8" s="31"/>
      <c r="E8" s="31"/>
      <c r="F8" s="31"/>
      <c r="G8" s="12"/>
      <c r="H8" s="40"/>
      <c r="I8" s="40"/>
      <c r="J8" s="80"/>
      <c r="K8" s="80"/>
      <c r="L8" s="3"/>
    </row>
    <row r="9" spans="1:12" ht="16.5">
      <c r="A9" s="81"/>
      <c r="B9" s="31"/>
      <c r="C9" s="31"/>
      <c r="D9" s="31"/>
      <c r="E9" s="31"/>
      <c r="F9" s="31"/>
      <c r="G9" s="12"/>
      <c r="H9" s="40"/>
      <c r="I9" s="40"/>
      <c r="J9" s="80"/>
      <c r="K9" s="80"/>
      <c r="L9" s="3"/>
    </row>
    <row r="10" spans="1:12" ht="16.5">
      <c r="A10" s="40"/>
      <c r="D10" s="40"/>
      <c r="E10" s="40"/>
      <c r="F10" s="40"/>
      <c r="G10" s="40"/>
      <c r="H10" s="40"/>
      <c r="I10" s="40"/>
      <c r="J10" s="40"/>
      <c r="K10" s="40"/>
      <c r="L10" s="2"/>
    </row>
    <row r="11" spans="1:12" ht="17.25" thickBot="1">
      <c r="A11" s="40"/>
      <c r="D11" s="40"/>
      <c r="E11" s="82"/>
      <c r="F11" s="26"/>
      <c r="G11" s="82"/>
      <c r="H11" s="40"/>
      <c r="I11" s="40"/>
      <c r="J11" s="40" t="s">
        <v>0</v>
      </c>
      <c r="K11" s="40"/>
      <c r="L11" s="2"/>
    </row>
    <row r="12" spans="1:12" ht="27" thickBot="1">
      <c r="A12" s="25" t="s">
        <v>357</v>
      </c>
      <c r="D12" s="40"/>
      <c r="E12" s="40"/>
      <c r="F12" s="28" t="s">
        <v>74</v>
      </c>
      <c r="G12" s="40"/>
      <c r="H12" s="40"/>
      <c r="I12" s="40"/>
      <c r="J12" s="40"/>
      <c r="K12" s="10"/>
    </row>
    <row r="13" spans="1:12" ht="21" thickBot="1">
      <c r="A13" s="27"/>
      <c r="D13" s="40"/>
      <c r="E13" s="82"/>
      <c r="F13" s="33" t="s">
        <v>478</v>
      </c>
      <c r="G13" s="82"/>
      <c r="H13" s="40"/>
      <c r="I13" s="40"/>
      <c r="J13" s="40"/>
      <c r="K13" s="10"/>
    </row>
    <row r="14" spans="1:12" ht="20.25">
      <c r="A14" s="27"/>
      <c r="B14" s="40"/>
      <c r="C14" s="40"/>
      <c r="D14" s="40" t="s">
        <v>0</v>
      </c>
      <c r="E14" s="40" t="s">
        <v>0</v>
      </c>
      <c r="F14" s="11" t="s">
        <v>0</v>
      </c>
      <c r="G14" s="40"/>
      <c r="H14" s="40"/>
      <c r="I14" s="40"/>
      <c r="J14" s="40"/>
      <c r="K14" s="10"/>
    </row>
    <row r="15" spans="1:12" ht="17.25" thickBot="1">
      <c r="A15" s="38" t="s">
        <v>0</v>
      </c>
      <c r="B15" s="38" t="s">
        <v>0</v>
      </c>
      <c r="C15" s="38" t="s">
        <v>0</v>
      </c>
      <c r="D15" s="38"/>
      <c r="E15" s="38"/>
      <c r="F15" s="38"/>
      <c r="G15" s="38" t="s">
        <v>0</v>
      </c>
      <c r="H15" s="82"/>
      <c r="I15" s="82"/>
      <c r="J15" s="82"/>
      <c r="K15" s="10"/>
    </row>
    <row r="16" spans="1:12" ht="17.25">
      <c r="A16" s="217"/>
      <c r="B16" s="218"/>
      <c r="C16" s="234"/>
      <c r="D16" s="202" t="s">
        <v>13</v>
      </c>
      <c r="E16" s="230" t="s">
        <v>13</v>
      </c>
      <c r="F16" s="202" t="s">
        <v>13</v>
      </c>
      <c r="G16" s="219" t="s">
        <v>230</v>
      </c>
      <c r="H16" s="231" t="s">
        <v>479</v>
      </c>
      <c r="I16" s="219" t="s">
        <v>479</v>
      </c>
      <c r="J16" s="231" t="s">
        <v>479</v>
      </c>
      <c r="K16" s="10"/>
    </row>
    <row r="17" spans="1:12" ht="17.25">
      <c r="A17" s="83" t="s">
        <v>0</v>
      </c>
      <c r="B17" s="84" t="s">
        <v>3</v>
      </c>
      <c r="C17" s="205" t="s">
        <v>5</v>
      </c>
      <c r="D17" s="86" t="s">
        <v>10</v>
      </c>
      <c r="E17" s="232" t="s">
        <v>10</v>
      </c>
      <c r="F17" s="86" t="s">
        <v>19</v>
      </c>
      <c r="G17" s="87" t="s">
        <v>479</v>
      </c>
      <c r="H17" s="84" t="s">
        <v>12</v>
      </c>
      <c r="I17" s="88" t="s">
        <v>11</v>
      </c>
      <c r="J17" s="89" t="s">
        <v>142</v>
      </c>
      <c r="K17" s="10"/>
    </row>
    <row r="18" spans="1:12" ht="17.25">
      <c r="A18" s="83" t="s">
        <v>2</v>
      </c>
      <c r="B18" s="84" t="s">
        <v>4</v>
      </c>
      <c r="C18" s="205" t="s">
        <v>6</v>
      </c>
      <c r="D18" s="86" t="s">
        <v>45</v>
      </c>
      <c r="E18" s="232" t="s">
        <v>46</v>
      </c>
      <c r="F18" s="86" t="s">
        <v>10</v>
      </c>
      <c r="G18" s="87" t="s">
        <v>10</v>
      </c>
      <c r="H18" s="84" t="s">
        <v>72</v>
      </c>
      <c r="I18" s="222" t="s">
        <v>340</v>
      </c>
      <c r="J18" s="89" t="s">
        <v>231</v>
      </c>
      <c r="K18" s="10" t="s">
        <v>0</v>
      </c>
    </row>
    <row r="19" spans="1:12" ht="18" thickBot="1">
      <c r="A19" s="90" t="s">
        <v>0</v>
      </c>
      <c r="B19" s="91" t="s">
        <v>0</v>
      </c>
      <c r="C19" s="107" t="s">
        <v>0</v>
      </c>
      <c r="D19" s="91" t="s">
        <v>0</v>
      </c>
      <c r="E19" s="92" t="s">
        <v>0</v>
      </c>
      <c r="F19" s="91" t="s">
        <v>0</v>
      </c>
      <c r="G19" s="92" t="s">
        <v>0</v>
      </c>
      <c r="H19" s="93" t="s">
        <v>61</v>
      </c>
      <c r="I19" s="94" t="s">
        <v>60</v>
      </c>
      <c r="J19" s="93" t="s">
        <v>60</v>
      </c>
      <c r="K19" s="10"/>
    </row>
    <row r="20" spans="1:12" ht="16.5">
      <c r="A20" s="235" t="s">
        <v>7</v>
      </c>
      <c r="B20" s="255" t="s">
        <v>7</v>
      </c>
      <c r="C20" s="235" t="s">
        <v>7</v>
      </c>
      <c r="D20" s="235" t="s">
        <v>7</v>
      </c>
      <c r="E20" s="261" t="s">
        <v>7</v>
      </c>
      <c r="F20" s="39" t="s">
        <v>15</v>
      </c>
      <c r="G20" s="235" t="s">
        <v>7</v>
      </c>
      <c r="H20" s="235" t="s">
        <v>8</v>
      </c>
      <c r="I20" s="235" t="s">
        <v>8</v>
      </c>
      <c r="J20" s="235" t="s">
        <v>8</v>
      </c>
      <c r="K20" s="10"/>
    </row>
    <row r="21" spans="1:12" ht="17.25">
      <c r="A21" s="84"/>
      <c r="B21" s="85"/>
      <c r="C21" s="84"/>
      <c r="D21" s="84"/>
      <c r="E21" s="85"/>
      <c r="F21" s="83"/>
      <c r="G21" s="84"/>
      <c r="H21" s="84"/>
      <c r="I21" s="108"/>
      <c r="J21" s="96"/>
      <c r="K21" s="10"/>
    </row>
    <row r="22" spans="1:12" ht="17.25">
      <c r="A22" s="97" t="s">
        <v>358</v>
      </c>
      <c r="B22" s="84" t="s">
        <v>359</v>
      </c>
      <c r="C22" s="84" t="s">
        <v>360</v>
      </c>
      <c r="D22" s="89">
        <v>53.88</v>
      </c>
      <c r="E22" s="89">
        <v>37.630000000000003</v>
      </c>
      <c r="F22" s="99">
        <f>AVERAGE(D22,E22)</f>
        <v>45.755000000000003</v>
      </c>
      <c r="G22" s="55">
        <v>50.3</v>
      </c>
      <c r="H22" s="293">
        <v>115530889</v>
      </c>
      <c r="I22" s="100"/>
      <c r="J22" s="293">
        <f>197000000+4834000000</f>
        <v>5031000000</v>
      </c>
      <c r="K22" s="10"/>
      <c r="L22" t="s">
        <v>0</v>
      </c>
    </row>
    <row r="23" spans="1:12" ht="17.25">
      <c r="A23" s="97" t="s">
        <v>361</v>
      </c>
      <c r="B23" s="84" t="s">
        <v>362</v>
      </c>
      <c r="C23" s="84" t="s">
        <v>360</v>
      </c>
      <c r="D23" s="99">
        <v>93</v>
      </c>
      <c r="E23" s="89">
        <v>57.11</v>
      </c>
      <c r="F23" s="99">
        <f t="shared" ref="F23:F29" si="0">AVERAGE(D23,E23)</f>
        <v>75.055000000000007</v>
      </c>
      <c r="G23" s="55">
        <v>85.27</v>
      </c>
      <c r="H23" s="294">
        <v>18377737</v>
      </c>
      <c r="I23" s="100"/>
      <c r="J23" s="293">
        <f>118075000+1681541000</f>
        <v>1799616000</v>
      </c>
      <c r="K23" s="10"/>
      <c r="L23" t="s">
        <v>0</v>
      </c>
    </row>
    <row r="24" spans="1:12" ht="17.25">
      <c r="A24" s="97" t="s">
        <v>363</v>
      </c>
      <c r="B24" s="84" t="s">
        <v>364</v>
      </c>
      <c r="C24" s="84" t="s">
        <v>360</v>
      </c>
      <c r="D24" s="89">
        <v>16.350000000000001</v>
      </c>
      <c r="E24" s="89">
        <v>11.42</v>
      </c>
      <c r="F24" s="99">
        <f t="shared" si="0"/>
        <v>13.885000000000002</v>
      </c>
      <c r="G24" s="98">
        <v>15.33</v>
      </c>
      <c r="H24" s="293">
        <v>660301080</v>
      </c>
      <c r="I24" s="100"/>
      <c r="J24" s="293">
        <f>2753000000+25254000000</f>
        <v>28007000000</v>
      </c>
      <c r="K24" s="10"/>
    </row>
    <row r="25" spans="1:12" ht="17.25">
      <c r="A25" s="97" t="s">
        <v>365</v>
      </c>
      <c r="B25" s="84" t="s">
        <v>366</v>
      </c>
      <c r="C25" s="84" t="s">
        <v>360</v>
      </c>
      <c r="D25" s="89">
        <v>72.34</v>
      </c>
      <c r="E25" s="99">
        <v>55.03</v>
      </c>
      <c r="F25" s="99">
        <f t="shared" si="0"/>
        <v>63.685000000000002</v>
      </c>
      <c r="G25" s="55">
        <v>69.400000000000006</v>
      </c>
      <c r="H25" s="293">
        <f>659669346-6498109</f>
        <v>653171237</v>
      </c>
      <c r="I25" s="100"/>
      <c r="J25" s="293">
        <f>1605000000+12507000000</f>
        <v>14112000000</v>
      </c>
      <c r="K25" s="10"/>
    </row>
    <row r="26" spans="1:12" ht="17.25">
      <c r="A26" s="97" t="s">
        <v>367</v>
      </c>
      <c r="B26" s="84" t="s">
        <v>368</v>
      </c>
      <c r="C26" s="84" t="s">
        <v>360</v>
      </c>
      <c r="D26" s="89">
        <v>5.15</v>
      </c>
      <c r="E26" s="89">
        <v>3.98</v>
      </c>
      <c r="F26" s="99">
        <f t="shared" si="0"/>
        <v>4.5650000000000004</v>
      </c>
      <c r="G26" s="55">
        <v>4.55</v>
      </c>
      <c r="H26" s="293">
        <v>370000000</v>
      </c>
      <c r="I26" s="100"/>
      <c r="J26" s="293">
        <f>769000000+7729000000</f>
        <v>8498000000</v>
      </c>
      <c r="K26" s="10"/>
    </row>
    <row r="27" spans="1:12" ht="17.25">
      <c r="A27" s="278" t="s">
        <v>369</v>
      </c>
      <c r="B27" s="89" t="s">
        <v>370</v>
      </c>
      <c r="C27" s="89" t="s">
        <v>360</v>
      </c>
      <c r="D27" s="89">
        <v>108.7</v>
      </c>
      <c r="E27" s="99">
        <v>94.88</v>
      </c>
      <c r="F27" s="99">
        <f t="shared" si="0"/>
        <v>101.78999999999999</v>
      </c>
      <c r="G27" s="55">
        <v>100.41</v>
      </c>
      <c r="H27" s="293">
        <f>84270723-44399241</f>
        <v>39871482</v>
      </c>
      <c r="I27" s="100"/>
      <c r="J27" s="293">
        <f>546812000+1845272000</f>
        <v>2392084000</v>
      </c>
      <c r="K27" s="10"/>
    </row>
    <row r="28" spans="1:12" ht="17.25">
      <c r="A28" s="97" t="s">
        <v>371</v>
      </c>
      <c r="B28" s="84" t="s">
        <v>372</v>
      </c>
      <c r="C28" s="84" t="s">
        <v>360</v>
      </c>
      <c r="D28" s="89">
        <v>43.54</v>
      </c>
      <c r="E28" s="99">
        <v>29.26</v>
      </c>
      <c r="F28" s="99">
        <f t="shared" si="0"/>
        <v>36.4</v>
      </c>
      <c r="G28" s="55">
        <v>41.33</v>
      </c>
      <c r="H28" s="293">
        <f>888111634-372530238</f>
        <v>515581396</v>
      </c>
      <c r="I28" s="100"/>
      <c r="J28" s="293">
        <f>324000000+4577000000</f>
        <v>4901000000</v>
      </c>
      <c r="K28" s="10"/>
    </row>
    <row r="29" spans="1:12" ht="18" thickBot="1">
      <c r="A29" s="258" t="s">
        <v>373</v>
      </c>
      <c r="B29" s="91" t="s">
        <v>374</v>
      </c>
      <c r="C29" s="91" t="s">
        <v>360</v>
      </c>
      <c r="D29" s="322">
        <v>116.32</v>
      </c>
      <c r="E29" s="322">
        <v>88.55</v>
      </c>
      <c r="F29" s="303">
        <f t="shared" si="0"/>
        <v>102.435</v>
      </c>
      <c r="G29" s="321">
        <v>111.82</v>
      </c>
      <c r="H29" s="295">
        <v>323470682</v>
      </c>
      <c r="I29" s="287"/>
      <c r="J29" s="296">
        <f>4426000000+20562000000</f>
        <v>24988000000</v>
      </c>
      <c r="K29" s="10"/>
    </row>
    <row r="30" spans="1:12" ht="17.25">
      <c r="A30" s="101"/>
      <c r="B30" s="101"/>
      <c r="C30" s="101"/>
      <c r="D30" s="101"/>
      <c r="E30" s="101"/>
      <c r="F30" s="101"/>
      <c r="G30" s="101"/>
      <c r="H30" s="101"/>
      <c r="I30" s="101"/>
      <c r="J30" s="101"/>
      <c r="K30" s="10"/>
      <c r="L30" t="s">
        <v>0</v>
      </c>
    </row>
    <row r="31" spans="1:12" ht="17.25">
      <c r="A31" s="101"/>
      <c r="B31" s="101"/>
      <c r="C31" s="101"/>
      <c r="D31" s="101" t="s">
        <v>0</v>
      </c>
      <c r="E31" s="101"/>
      <c r="F31" s="101"/>
      <c r="G31" s="101"/>
      <c r="H31" s="101" t="s">
        <v>0</v>
      </c>
      <c r="I31" s="101"/>
      <c r="J31" s="101" t="s">
        <v>0</v>
      </c>
      <c r="K31" s="10"/>
    </row>
    <row r="32" spans="1:12" ht="18" thickBot="1">
      <c r="A32" s="495" t="s">
        <v>0</v>
      </c>
      <c r="B32" s="102"/>
      <c r="C32" s="102"/>
      <c r="D32" s="102"/>
      <c r="E32" s="102"/>
      <c r="F32" s="26"/>
      <c r="G32" s="102"/>
      <c r="H32" s="102"/>
      <c r="I32" s="102"/>
      <c r="J32" s="101"/>
      <c r="K32" s="101"/>
      <c r="L32" s="4"/>
    </row>
    <row r="33" spans="1:12" ht="17.25">
      <c r="A33" s="103"/>
      <c r="B33" s="375"/>
      <c r="C33" s="375"/>
      <c r="D33" s="375"/>
      <c r="E33" s="231" t="s">
        <v>0</v>
      </c>
      <c r="F33" s="231" t="s">
        <v>0</v>
      </c>
      <c r="G33" s="231" t="s">
        <v>0</v>
      </c>
      <c r="H33" s="139"/>
      <c r="I33" s="375"/>
      <c r="J33" s="105"/>
      <c r="K33" s="375"/>
      <c r="L33" s="4"/>
    </row>
    <row r="34" spans="1:12" ht="17.25">
      <c r="A34" s="83"/>
      <c r="B34" s="84"/>
      <c r="C34" s="84"/>
      <c r="D34" s="376" t="s">
        <v>479</v>
      </c>
      <c r="E34" s="376" t="s">
        <v>479</v>
      </c>
      <c r="F34" s="376" t="s">
        <v>479</v>
      </c>
      <c r="G34" s="376" t="s">
        <v>479</v>
      </c>
      <c r="H34" s="376" t="s">
        <v>479</v>
      </c>
      <c r="I34" s="376" t="s">
        <v>479</v>
      </c>
      <c r="J34" s="376" t="s">
        <v>479</v>
      </c>
      <c r="K34" s="376" t="s">
        <v>479</v>
      </c>
      <c r="L34" s="5"/>
    </row>
    <row r="35" spans="1:12" ht="17.25">
      <c r="A35" s="83" t="s">
        <v>0</v>
      </c>
      <c r="B35" s="84" t="s">
        <v>3</v>
      </c>
      <c r="C35" s="84" t="s">
        <v>5</v>
      </c>
      <c r="D35" s="84" t="s">
        <v>12</v>
      </c>
      <c r="E35" s="89" t="s">
        <v>141</v>
      </c>
      <c r="F35" s="89" t="s">
        <v>267</v>
      </c>
      <c r="G35" s="89" t="s">
        <v>417</v>
      </c>
      <c r="H35" s="83" t="s">
        <v>198</v>
      </c>
      <c r="I35" s="89" t="s">
        <v>16</v>
      </c>
      <c r="J35" s="106" t="s">
        <v>17</v>
      </c>
      <c r="K35" s="89" t="s">
        <v>51</v>
      </c>
      <c r="L35" s="5"/>
    </row>
    <row r="36" spans="1:12" ht="18" thickBot="1">
      <c r="A36" s="90" t="s">
        <v>2</v>
      </c>
      <c r="B36" s="91" t="s">
        <v>4</v>
      </c>
      <c r="C36" s="91" t="s">
        <v>6</v>
      </c>
      <c r="D36" s="91" t="s">
        <v>14</v>
      </c>
      <c r="E36" s="91" t="s">
        <v>14</v>
      </c>
      <c r="F36" s="91" t="s">
        <v>280</v>
      </c>
      <c r="G36" s="91" t="s">
        <v>280</v>
      </c>
      <c r="H36" s="90" t="s">
        <v>14</v>
      </c>
      <c r="I36" s="91" t="s">
        <v>416</v>
      </c>
      <c r="J36" s="107" t="s">
        <v>0</v>
      </c>
      <c r="K36" s="91" t="s">
        <v>332</v>
      </c>
      <c r="L36" s="1"/>
    </row>
    <row r="37" spans="1:12" ht="15.75">
      <c r="A37" s="235" t="s">
        <v>7</v>
      </c>
      <c r="B37" s="235" t="s">
        <v>7</v>
      </c>
      <c r="C37" s="235" t="s">
        <v>7</v>
      </c>
      <c r="D37" s="235" t="s">
        <v>15</v>
      </c>
      <c r="E37" s="235" t="s">
        <v>8</v>
      </c>
      <c r="F37" s="235" t="s">
        <v>8</v>
      </c>
      <c r="G37" s="235" t="s">
        <v>8</v>
      </c>
      <c r="H37" s="254" t="s">
        <v>8</v>
      </c>
      <c r="I37" s="95" t="s">
        <v>15</v>
      </c>
      <c r="J37" s="261" t="s">
        <v>15</v>
      </c>
      <c r="K37" s="95" t="s">
        <v>15</v>
      </c>
      <c r="L37" s="5"/>
    </row>
    <row r="38" spans="1:12" ht="17.25">
      <c r="A38" s="84"/>
      <c r="B38" s="84"/>
      <c r="C38" s="84"/>
      <c r="D38" s="300"/>
      <c r="E38" s="300"/>
      <c r="F38" s="96"/>
      <c r="G38" s="96"/>
      <c r="H38" s="171"/>
      <c r="I38" s="96"/>
      <c r="J38" s="108"/>
      <c r="K38" s="96"/>
      <c r="L38" s="4"/>
    </row>
    <row r="39" spans="1:12" ht="17.25">
      <c r="A39" s="96" t="str">
        <f t="shared" ref="A39:C46" si="1">+A22</f>
        <v xml:space="preserve">Alaska Air </v>
      </c>
      <c r="B39" s="84" t="str">
        <f t="shared" si="1"/>
        <v>ALK</v>
      </c>
      <c r="C39" s="84" t="str">
        <f t="shared" si="1"/>
        <v>AirTrans</v>
      </c>
      <c r="D39" s="297">
        <f t="shared" ref="D39:D46" si="2">(+H22)*G22</f>
        <v>5811203716.6999998</v>
      </c>
      <c r="E39" s="308">
        <f>(1/1)*I22</f>
        <v>0</v>
      </c>
      <c r="F39" s="297">
        <f t="shared" ref="F39:F46" si="3">+G70</f>
        <v>1584000000</v>
      </c>
      <c r="G39" s="297">
        <v>0</v>
      </c>
      <c r="H39" s="377">
        <f>(2756/2761)*J22</f>
        <v>5021889170.5903654</v>
      </c>
      <c r="I39" s="293">
        <f t="shared" ref="I39:I46" si="4">+D39+E39+F39+G39+H39</f>
        <v>12417092887.290365</v>
      </c>
      <c r="J39" s="109">
        <f t="shared" ref="J39:J46" si="5">(+D39)/I39</f>
        <v>0.46800034190354761</v>
      </c>
      <c r="K39" s="380">
        <f>(+E39+F39+G39+H39)/I39</f>
        <v>0.53199965809645244</v>
      </c>
      <c r="L39" s="4"/>
    </row>
    <row r="40" spans="1:12" ht="17.25">
      <c r="A40" s="96" t="str">
        <f t="shared" si="1"/>
        <v xml:space="preserve">Allegiant Travel Co. </v>
      </c>
      <c r="B40" s="84" t="str">
        <f t="shared" si="1"/>
        <v>ALGT</v>
      </c>
      <c r="C40" s="84" t="str">
        <f t="shared" si="1"/>
        <v>AirTrans</v>
      </c>
      <c r="D40" s="297">
        <f t="shared" si="2"/>
        <v>1567069633.99</v>
      </c>
      <c r="E40" s="308">
        <f t="shared" ref="E40:E46" si="6">(1/1)*I23</f>
        <v>0</v>
      </c>
      <c r="F40" s="297">
        <f t="shared" si="3"/>
        <v>65106000</v>
      </c>
      <c r="G40" s="297">
        <v>0</v>
      </c>
      <c r="H40" s="377">
        <f>(1424251/1413205)*J23</f>
        <v>1813682294.9366865</v>
      </c>
      <c r="I40" s="293">
        <f t="shared" si="4"/>
        <v>3445857928.9266863</v>
      </c>
      <c r="J40" s="109">
        <f t="shared" si="5"/>
        <v>0.45476907821272533</v>
      </c>
      <c r="K40" s="380">
        <f t="shared" ref="K40:K46" si="7">(+E40+F40+G40+H40)/I40</f>
        <v>0.54523092178727472</v>
      </c>
      <c r="L40" s="4"/>
    </row>
    <row r="41" spans="1:12" ht="17.25">
      <c r="A41" s="96" t="str">
        <f t="shared" si="1"/>
        <v xml:space="preserve">American Airlines </v>
      </c>
      <c r="B41" s="84" t="str">
        <f t="shared" si="1"/>
        <v>AAL</v>
      </c>
      <c r="C41" s="84" t="str">
        <f t="shared" si="1"/>
        <v>AirTrans</v>
      </c>
      <c r="D41" s="297">
        <f t="shared" si="2"/>
        <v>10122415556.4</v>
      </c>
      <c r="E41" s="308">
        <f t="shared" si="6"/>
        <v>0</v>
      </c>
      <c r="F41" s="297">
        <f t="shared" si="3"/>
        <v>6963000000</v>
      </c>
      <c r="G41" s="297">
        <v>0</v>
      </c>
      <c r="H41" s="377">
        <f>(28582/28280)*J24</f>
        <v>28306084653.465347</v>
      </c>
      <c r="I41" s="293">
        <f t="shared" si="4"/>
        <v>45391500209.865349</v>
      </c>
      <c r="J41" s="109">
        <f t="shared" si="5"/>
        <v>0.22300244560324101</v>
      </c>
      <c r="K41" s="380">
        <f t="shared" si="7"/>
        <v>0.77699755439675899</v>
      </c>
      <c r="L41" s="4"/>
    </row>
    <row r="42" spans="1:12" ht="17.25">
      <c r="A42" s="96" t="str">
        <f t="shared" si="1"/>
        <v xml:space="preserve">Delta Air Lines </v>
      </c>
      <c r="B42" s="84" t="str">
        <f t="shared" si="1"/>
        <v>DAL</v>
      </c>
      <c r="C42" s="84" t="str">
        <f t="shared" si="1"/>
        <v>AirTrans</v>
      </c>
      <c r="D42" s="297">
        <f t="shared" si="2"/>
        <v>45330083847.800003</v>
      </c>
      <c r="E42" s="308">
        <f t="shared" si="6"/>
        <v>0</v>
      </c>
      <c r="F42" s="297">
        <f t="shared" si="3"/>
        <v>6162000000</v>
      </c>
      <c r="G42" s="297">
        <v>0</v>
      </c>
      <c r="H42" s="377">
        <f>(13400/13308)*J25</f>
        <v>14209558160.504957</v>
      </c>
      <c r="I42" s="293">
        <f t="shared" si="4"/>
        <v>65701642008.304962</v>
      </c>
      <c r="J42" s="109">
        <f t="shared" si="5"/>
        <v>0.68993837082595422</v>
      </c>
      <c r="K42" s="380">
        <f t="shared" si="7"/>
        <v>0.31006162917404573</v>
      </c>
      <c r="L42" s="4"/>
    </row>
    <row r="43" spans="1:12" ht="17.25">
      <c r="A43" s="96" t="str">
        <f t="shared" si="1"/>
        <v xml:space="preserve">JetBlue Airways </v>
      </c>
      <c r="B43" s="84" t="str">
        <f t="shared" si="1"/>
        <v>JBLU</v>
      </c>
      <c r="C43" s="84" t="str">
        <f t="shared" si="1"/>
        <v>AirTrans</v>
      </c>
      <c r="D43" s="297">
        <f t="shared" si="2"/>
        <v>1683500000</v>
      </c>
      <c r="E43" s="308">
        <f t="shared" si="6"/>
        <v>0</v>
      </c>
      <c r="F43" s="297">
        <f t="shared" si="3"/>
        <v>79000000</v>
      </c>
      <c r="G43" s="297">
        <v>0</v>
      </c>
      <c r="H43" s="378">
        <f>(7829/8498)*J26</f>
        <v>7829000000</v>
      </c>
      <c r="I43" s="293">
        <f t="shared" si="4"/>
        <v>9591500000</v>
      </c>
      <c r="J43" s="109">
        <f t="shared" si="5"/>
        <v>0.17551999165928164</v>
      </c>
      <c r="K43" s="380">
        <f t="shared" si="7"/>
        <v>0.82448000834071833</v>
      </c>
      <c r="L43" s="4"/>
    </row>
    <row r="44" spans="1:12" ht="17.25">
      <c r="A44" s="96" t="str">
        <f t="shared" si="1"/>
        <v>Skywest Inc</v>
      </c>
      <c r="B44" s="84" t="str">
        <f t="shared" si="1"/>
        <v>SKYW</v>
      </c>
      <c r="C44" s="84" t="str">
        <f t="shared" si="1"/>
        <v>AirTrans</v>
      </c>
      <c r="D44" s="297">
        <f t="shared" si="2"/>
        <v>4003495507.6199999</v>
      </c>
      <c r="E44" s="308">
        <f t="shared" si="6"/>
        <v>0</v>
      </c>
      <c r="F44" s="297">
        <f t="shared" si="3"/>
        <v>19629000</v>
      </c>
      <c r="G44" s="297">
        <v>0</v>
      </c>
      <c r="H44" s="378">
        <f>(2376943/2408369)*J27</f>
        <v>2360870497.5076494</v>
      </c>
      <c r="I44" s="293">
        <f t="shared" si="4"/>
        <v>6383995005.1276493</v>
      </c>
      <c r="J44" s="109">
        <f t="shared" si="5"/>
        <v>0.62711444861789156</v>
      </c>
      <c r="K44" s="380">
        <f t="shared" si="7"/>
        <v>0.37288555138210838</v>
      </c>
      <c r="L44" s="4"/>
    </row>
    <row r="45" spans="1:12" ht="17.25">
      <c r="A45" s="96" t="str">
        <f t="shared" si="1"/>
        <v xml:space="preserve">Southwest Airlines </v>
      </c>
      <c r="B45" s="84" t="str">
        <f t="shared" si="1"/>
        <v>LUV</v>
      </c>
      <c r="C45" s="84" t="str">
        <f t="shared" si="1"/>
        <v>AirTrans</v>
      </c>
      <c r="D45" s="297">
        <f t="shared" si="2"/>
        <v>21308979096.68</v>
      </c>
      <c r="E45" s="308">
        <f t="shared" si="6"/>
        <v>0</v>
      </c>
      <c r="F45" s="297">
        <f t="shared" si="3"/>
        <v>1080000000</v>
      </c>
      <c r="G45" s="297">
        <v>0</v>
      </c>
      <c r="H45" s="378">
        <f>(297000000+108000000+296000000+1749000000+752000000+465000000+719000000+433000000)/(300000000+104000000+300000000+1727000000+750000000+500000000+734000000+426000000)*J28</f>
        <v>4878727329.0642433</v>
      </c>
      <c r="I45" s="293">
        <f t="shared" si="4"/>
        <v>27267706425.744244</v>
      </c>
      <c r="J45" s="109">
        <f t="shared" si="5"/>
        <v>0.78147310096318057</v>
      </c>
      <c r="K45" s="380">
        <f>(+E45+F45+G45+H45)/I45</f>
        <v>0.21852689903681938</v>
      </c>
      <c r="L45" s="4"/>
    </row>
    <row r="46" spans="1:12" ht="18" thickBot="1">
      <c r="A46" s="301" t="str">
        <f t="shared" si="1"/>
        <v>United Airlines Holdings Inc</v>
      </c>
      <c r="B46" s="91" t="str">
        <f t="shared" si="1"/>
        <v>UAL</v>
      </c>
      <c r="C46" s="91" t="str">
        <f t="shared" si="1"/>
        <v>AirTrans</v>
      </c>
      <c r="D46" s="298">
        <f t="shared" si="2"/>
        <v>36170491661.239998</v>
      </c>
      <c r="E46" s="476">
        <f t="shared" si="6"/>
        <v>0</v>
      </c>
      <c r="F46" s="298">
        <f t="shared" si="3"/>
        <v>6048000000</v>
      </c>
      <c r="G46" s="298">
        <v>0</v>
      </c>
      <c r="H46" s="379">
        <f>(21489/21266)*J29</f>
        <v>25250029718.799961</v>
      </c>
      <c r="I46" s="296">
        <f t="shared" si="4"/>
        <v>67468521380.039963</v>
      </c>
      <c r="J46" s="288">
        <f t="shared" si="5"/>
        <v>0.53610915018423322</v>
      </c>
      <c r="K46" s="381">
        <f t="shared" si="7"/>
        <v>0.46389084981576667</v>
      </c>
      <c r="L46" s="4"/>
    </row>
    <row r="47" spans="1:12" ht="17.25">
      <c r="A47" s="10"/>
      <c r="B47" s="10"/>
      <c r="C47" s="10"/>
      <c r="D47" s="10"/>
      <c r="E47" s="10"/>
      <c r="F47" s="10"/>
      <c r="H47" s="10"/>
      <c r="I47" s="112" t="s">
        <v>45</v>
      </c>
      <c r="J47" s="115">
        <f>MAX(J39:J46)</f>
        <v>0.78147310096318057</v>
      </c>
      <c r="K47" s="115">
        <f>MAX(K39:K46)</f>
        <v>0.82448000834071833</v>
      </c>
    </row>
    <row r="48" spans="1:12" ht="17.25">
      <c r="A48" s="10"/>
      <c r="B48" s="10"/>
      <c r="C48" s="10"/>
      <c r="D48" s="10"/>
      <c r="E48" s="10" t="s">
        <v>0</v>
      </c>
      <c r="F48" s="10"/>
      <c r="H48" s="10" t="s">
        <v>0</v>
      </c>
      <c r="I48" s="277" t="s">
        <v>46</v>
      </c>
      <c r="J48" s="314">
        <f>MIN(J39:J46)</f>
        <v>0.17551999165928164</v>
      </c>
      <c r="K48" s="314">
        <f>MIN(K39:K46)</f>
        <v>0.21852689903681938</v>
      </c>
    </row>
    <row r="49" spans="1:11" ht="17.25">
      <c r="A49" s="10"/>
      <c r="B49" s="10"/>
      <c r="C49" s="10"/>
      <c r="D49" s="10"/>
      <c r="E49" s="113"/>
      <c r="F49" s="279" t="s">
        <v>0</v>
      </c>
      <c r="H49" s="10" t="s">
        <v>0</v>
      </c>
      <c r="I49" s="12" t="s">
        <v>18</v>
      </c>
      <c r="J49" s="114">
        <f>MEDIAN(J39:J46)</f>
        <v>0.50205474604389044</v>
      </c>
      <c r="K49" s="115">
        <f>MEDIAN(K39:K46)</f>
        <v>0.49794525395610956</v>
      </c>
    </row>
    <row r="50" spans="1:11" ht="17.25">
      <c r="A50" s="10"/>
      <c r="B50" s="10"/>
      <c r="C50" s="10"/>
      <c r="D50" s="10" t="s">
        <v>0</v>
      </c>
      <c r="E50" s="262" t="s">
        <v>0</v>
      </c>
      <c r="F50" s="279" t="s">
        <v>0</v>
      </c>
      <c r="H50" s="10" t="s">
        <v>0</v>
      </c>
      <c r="I50" s="12" t="s">
        <v>387</v>
      </c>
      <c r="J50" s="114">
        <f>AVERAGE(J39:J46)</f>
        <v>0.49449086599625691</v>
      </c>
      <c r="K50" s="115">
        <f>AVERAGE(K39:K46)</f>
        <v>0.50550913400374309</v>
      </c>
    </row>
    <row r="51" spans="1:11" ht="18" thickBot="1">
      <c r="A51" s="10"/>
      <c r="B51" s="10"/>
      <c r="C51" s="10"/>
      <c r="D51" s="10"/>
      <c r="E51" s="113"/>
      <c r="F51" s="10"/>
      <c r="H51" s="10"/>
      <c r="I51" s="10"/>
      <c r="J51" s="58"/>
      <c r="K51" s="58"/>
    </row>
    <row r="52" spans="1:11" ht="27" thickBot="1">
      <c r="A52" s="10"/>
      <c r="B52" s="10"/>
      <c r="C52" s="10"/>
      <c r="D52" s="10"/>
      <c r="E52" s="113"/>
      <c r="F52" s="10"/>
      <c r="H52" s="10"/>
      <c r="I52" s="174" t="s">
        <v>200</v>
      </c>
      <c r="J52" s="364">
        <v>0.49</v>
      </c>
      <c r="K52" s="365">
        <v>0.51</v>
      </c>
    </row>
    <row r="53" spans="1:11" ht="17.25">
      <c r="A53" s="10"/>
      <c r="B53" s="10"/>
      <c r="C53" s="10"/>
      <c r="D53" s="10"/>
      <c r="E53" s="113"/>
      <c r="F53" s="10"/>
      <c r="G53" s="10"/>
      <c r="H53" s="10"/>
      <c r="I53" s="58"/>
      <c r="J53" s="58" t="s">
        <v>0</v>
      </c>
      <c r="K53" s="10"/>
    </row>
    <row r="54" spans="1:11" ht="16.5">
      <c r="E54" s="113"/>
      <c r="F54" s="10"/>
      <c r="G54" s="10"/>
      <c r="H54" s="10"/>
      <c r="I54" s="10"/>
      <c r="J54" s="10"/>
      <c r="K54" s="10"/>
    </row>
    <row r="55" spans="1:11" ht="16.5">
      <c r="E55" s="113"/>
      <c r="F55" s="10"/>
      <c r="G55" s="10"/>
      <c r="H55" s="10"/>
      <c r="I55" s="10"/>
      <c r="J55" s="10"/>
      <c r="K55" s="10"/>
    </row>
    <row r="56" spans="1:11" ht="26.25">
      <c r="A56" s="20" t="s">
        <v>71</v>
      </c>
      <c r="B56" s="10"/>
      <c r="C56" s="70"/>
      <c r="D56" s="117"/>
      <c r="E56" s="280"/>
      <c r="H56" s="10"/>
      <c r="I56" s="10"/>
      <c r="J56" s="10"/>
      <c r="K56" s="10"/>
    </row>
    <row r="57" spans="1:11" ht="16.5">
      <c r="A57" s="81" t="s">
        <v>54</v>
      </c>
      <c r="B57" s="10"/>
      <c r="C57" s="70"/>
      <c r="D57" s="117"/>
      <c r="E57" s="280"/>
      <c r="H57" s="10"/>
      <c r="I57" s="10"/>
      <c r="J57" s="10"/>
      <c r="K57" s="10"/>
    </row>
    <row r="58" spans="1:11" ht="16.5">
      <c r="A58" s="10" t="s">
        <v>145</v>
      </c>
      <c r="B58" s="10"/>
      <c r="C58" s="10"/>
      <c r="D58" s="10"/>
    </row>
    <row r="59" spans="1:11" ht="16.5">
      <c r="A59" s="10" t="s">
        <v>143</v>
      </c>
      <c r="B59" s="10"/>
      <c r="C59" s="10"/>
      <c r="D59" s="10"/>
    </row>
    <row r="60" spans="1:11" ht="16.5">
      <c r="A60" s="10" t="s">
        <v>144</v>
      </c>
      <c r="B60" s="10"/>
      <c r="C60" s="10"/>
      <c r="D60" s="10"/>
    </row>
    <row r="61" spans="1:11" ht="16.5">
      <c r="A61" s="10" t="s">
        <v>419</v>
      </c>
      <c r="B61" s="10"/>
      <c r="C61" s="10"/>
      <c r="D61" s="10"/>
    </row>
    <row r="62" spans="1:11" ht="16.5">
      <c r="A62" s="10" t="s">
        <v>418</v>
      </c>
      <c r="B62" s="10"/>
      <c r="C62" s="10"/>
      <c r="D62" s="10"/>
    </row>
    <row r="63" spans="1:11" ht="16.5">
      <c r="A63" s="10" t="s">
        <v>352</v>
      </c>
      <c r="B63" s="10"/>
      <c r="C63" s="10"/>
      <c r="D63" s="10"/>
    </row>
    <row r="64" spans="1:11" ht="16.5">
      <c r="A64" s="10" t="s">
        <v>353</v>
      </c>
      <c r="B64" s="10"/>
      <c r="C64" s="10"/>
      <c r="D64" s="10"/>
    </row>
    <row r="65" spans="1:11" ht="16.5">
      <c r="B65" s="10"/>
      <c r="C65" s="10"/>
      <c r="D65" s="10"/>
    </row>
    <row r="66" spans="1:11" ht="16.5">
      <c r="A66" s="10"/>
      <c r="B66" s="10"/>
      <c r="C66" s="10"/>
      <c r="D66" s="10"/>
    </row>
    <row r="67" spans="1:11" ht="26.25">
      <c r="A67" s="233" t="s">
        <v>285</v>
      </c>
      <c r="B67" s="10"/>
      <c r="C67" s="10"/>
      <c r="D67" s="10"/>
    </row>
    <row r="68" spans="1:11" ht="17.25" customHeight="1">
      <c r="A68" s="299" t="s">
        <v>375</v>
      </c>
      <c r="B68" s="10"/>
      <c r="C68" s="10"/>
      <c r="D68" s="10"/>
    </row>
    <row r="69" spans="1:11" ht="16.5">
      <c r="A69" s="120" t="s">
        <v>376</v>
      </c>
      <c r="B69" s="10"/>
      <c r="C69" s="10"/>
      <c r="E69" s="382" t="s">
        <v>2</v>
      </c>
      <c r="F69" s="383" t="s">
        <v>355</v>
      </c>
      <c r="G69" s="383" t="s">
        <v>356</v>
      </c>
      <c r="H69" s="383" t="s">
        <v>420</v>
      </c>
      <c r="I69" s="382" t="s">
        <v>354</v>
      </c>
    </row>
    <row r="70" spans="1:11" ht="24.95" customHeight="1">
      <c r="A70" s="496" t="s">
        <v>480</v>
      </c>
      <c r="B70" s="10"/>
      <c r="C70" s="10"/>
      <c r="E70" s="384" t="str">
        <f t="shared" ref="E70:E76" si="8">A39</f>
        <v xml:space="preserve">Alaska Air </v>
      </c>
      <c r="F70" s="385">
        <v>173000000</v>
      </c>
      <c r="G70" s="385">
        <v>1584000000</v>
      </c>
      <c r="H70" s="385">
        <v>1584000000</v>
      </c>
      <c r="I70" s="386">
        <v>279000000</v>
      </c>
      <c r="K70" s="404"/>
    </row>
    <row r="71" spans="1:11" ht="24.95" customHeight="1">
      <c r="A71" s="233" t="s">
        <v>350</v>
      </c>
      <c r="B71" s="10"/>
      <c r="C71" s="10"/>
      <c r="E71" s="384" t="str">
        <f t="shared" si="8"/>
        <v xml:space="preserve">Allegiant Travel Co. </v>
      </c>
      <c r="F71" s="385">
        <v>63389000</v>
      </c>
      <c r="G71" s="387">
        <f>10936000+54170000</f>
        <v>65106000</v>
      </c>
      <c r="H71" s="387">
        <f>10936000+54170000</f>
        <v>65106000</v>
      </c>
      <c r="I71" s="386">
        <v>25250000</v>
      </c>
      <c r="J71" s="368"/>
    </row>
    <row r="72" spans="1:11" ht="24.95" customHeight="1">
      <c r="A72" s="120" t="s">
        <v>0</v>
      </c>
      <c r="B72" s="10"/>
      <c r="C72" s="10"/>
      <c r="E72" s="384" t="str">
        <f t="shared" si="8"/>
        <v xml:space="preserve">American Airlines </v>
      </c>
      <c r="F72" s="385">
        <v>7091000000</v>
      </c>
      <c r="G72" s="385">
        <f>1058000000+5905000000</f>
        <v>6963000000</v>
      </c>
      <c r="H72" s="385">
        <f>1058000000+5905000000</f>
        <v>6963000000</v>
      </c>
      <c r="I72" s="386">
        <v>1704000000</v>
      </c>
    </row>
    <row r="73" spans="1:11" ht="24.95" customHeight="1">
      <c r="A73" s="120" t="s">
        <v>0</v>
      </c>
      <c r="B73" s="10"/>
      <c r="C73" s="10"/>
      <c r="E73" s="384" t="str">
        <f t="shared" si="8"/>
        <v xml:space="preserve">Delta Air Lines </v>
      </c>
      <c r="F73" s="385">
        <v>6244000000</v>
      </c>
      <c r="G73" s="385">
        <f>809000000+5353000000</f>
        <v>6162000000</v>
      </c>
      <c r="H73" s="385">
        <f>809000000+5353000000</f>
        <v>6162000000</v>
      </c>
      <c r="I73" s="386">
        <f>3564000000</f>
        <v>3564000000</v>
      </c>
      <c r="J73" s="369"/>
    </row>
    <row r="74" spans="1:11" ht="24.95" customHeight="1">
      <c r="A74" s="120" t="s">
        <v>0</v>
      </c>
      <c r="B74" s="10"/>
      <c r="C74" s="10"/>
      <c r="E74" s="384" t="str">
        <f t="shared" si="8"/>
        <v xml:space="preserve">JetBlue Airways </v>
      </c>
      <c r="F74" s="385">
        <v>868000000</v>
      </c>
      <c r="G74" s="385">
        <v>79000000</v>
      </c>
      <c r="H74" s="385">
        <v>79000000</v>
      </c>
      <c r="I74" s="386">
        <v>133000000</v>
      </c>
    </row>
    <row r="75" spans="1:11" ht="24.95" customHeight="1">
      <c r="A75" s="281"/>
      <c r="B75" s="10"/>
      <c r="C75" s="10"/>
      <c r="E75" s="384" t="str">
        <f t="shared" si="8"/>
        <v>Skywest Inc</v>
      </c>
      <c r="F75" s="388">
        <v>81943000</v>
      </c>
      <c r="G75" s="388">
        <v>19629000</v>
      </c>
      <c r="H75" s="388">
        <v>19629000</v>
      </c>
      <c r="I75" s="389">
        <v>36794000</v>
      </c>
    </row>
    <row r="76" spans="1:11" ht="24.95" customHeight="1">
      <c r="B76" s="10"/>
      <c r="C76" s="10"/>
      <c r="E76" s="384" t="str">
        <f t="shared" si="8"/>
        <v xml:space="preserve">Southwest Airlines </v>
      </c>
      <c r="F76" s="388">
        <v>1089000000</v>
      </c>
      <c r="G76" s="388">
        <f>312000000+768000000</f>
        <v>1080000000</v>
      </c>
      <c r="H76" s="388">
        <f>312000000+768000000</f>
        <v>1080000000</v>
      </c>
      <c r="I76" s="389">
        <f>291000000+72000000</f>
        <v>363000000</v>
      </c>
    </row>
    <row r="77" spans="1:11" ht="24.95" customHeight="1">
      <c r="E77" s="384" t="str">
        <f t="shared" ref="E77" si="9">A46</f>
        <v>United Airlines Holdings Inc</v>
      </c>
      <c r="F77" s="388">
        <v>4958000000</v>
      </c>
      <c r="G77" s="388">
        <f>631000000+5417000000</f>
        <v>6048000000</v>
      </c>
      <c r="H77" s="388">
        <f>631000000+5417000000</f>
        <v>6048000000</v>
      </c>
      <c r="I77" s="389">
        <v>252000000</v>
      </c>
    </row>
  </sheetData>
  <pageMargins left="0.25" right="0.25" top="0.75" bottom="0.75" header="0.3" footer="0.3"/>
  <pageSetup scale="36" orientation="landscape" r:id="rId1"/>
  <rowBreaks count="1" manualBreakCount="1">
    <brk id="52" max="11" man="1"/>
  </rowBreaks>
  <colBreaks count="1" manualBreakCount="1">
    <brk id="11" max="79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I62"/>
  <sheetViews>
    <sheetView view="pageBreakPreview" zoomScale="80" zoomScaleNormal="80" zoomScaleSheetLayoutView="80" zoomScalePageLayoutView="70" workbookViewId="0">
      <pane xSplit="1" topLeftCell="B1" activePane="topRight" state="frozen"/>
      <selection pane="topRight" activeCell="F4" sqref="F4:F5"/>
    </sheetView>
  </sheetViews>
  <sheetFormatPr defaultRowHeight="15"/>
  <cols>
    <col min="1" max="1" width="62.42578125" customWidth="1"/>
    <col min="2" max="2" width="11.5703125" bestFit="1" customWidth="1"/>
    <col min="3" max="3" width="20.42578125" bestFit="1" customWidth="1"/>
    <col min="4" max="4" width="30.140625" customWidth="1"/>
    <col min="5" max="5" width="28" customWidth="1"/>
    <col min="6" max="6" width="29.140625" customWidth="1"/>
    <col min="7" max="7" width="23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21" t="s">
        <v>1</v>
      </c>
      <c r="B1" s="10"/>
      <c r="C1" s="10"/>
      <c r="D1" s="10"/>
      <c r="E1" s="10"/>
      <c r="F1" s="10"/>
      <c r="G1" s="10"/>
      <c r="H1" s="10"/>
    </row>
    <row r="2" spans="1:9" ht="17.25">
      <c r="A2" s="22" t="s">
        <v>9</v>
      </c>
      <c r="B2" s="10"/>
      <c r="C2" s="10"/>
      <c r="D2" s="10"/>
      <c r="E2" s="10"/>
      <c r="F2" s="10"/>
      <c r="G2" s="10"/>
      <c r="H2" s="10"/>
    </row>
    <row r="3" spans="1:9" ht="16.5">
      <c r="A3" s="23" t="s">
        <v>465</v>
      </c>
      <c r="B3" s="10"/>
      <c r="C3" s="10"/>
      <c r="D3" s="10"/>
      <c r="E3" s="10"/>
      <c r="F3" s="10"/>
      <c r="G3" s="10"/>
      <c r="H3" s="10"/>
    </row>
    <row r="4" spans="1:9" ht="16.5">
      <c r="A4" s="23"/>
      <c r="B4" s="10"/>
      <c r="C4" s="10"/>
      <c r="D4" s="10"/>
      <c r="E4" s="10"/>
      <c r="F4" s="496" t="s">
        <v>0</v>
      </c>
      <c r="G4" s="10"/>
      <c r="H4" s="10"/>
    </row>
    <row r="5" spans="1:9" ht="16.5">
      <c r="B5" s="10"/>
      <c r="C5" s="10"/>
      <c r="D5" s="10"/>
      <c r="E5" s="24"/>
      <c r="F5" s="496" t="s">
        <v>0</v>
      </c>
      <c r="G5" s="10"/>
      <c r="H5" s="10" t="s">
        <v>0</v>
      </c>
    </row>
    <row r="6" spans="1:9" ht="16.5">
      <c r="A6" s="81"/>
      <c r="B6" s="31"/>
      <c r="C6" s="31"/>
      <c r="D6" s="31"/>
      <c r="E6" s="31"/>
      <c r="F6" s="31"/>
      <c r="G6" s="12"/>
      <c r="H6" s="80"/>
      <c r="I6" s="3"/>
    </row>
    <row r="7" spans="1:9" ht="16.5">
      <c r="A7" s="40"/>
      <c r="B7" s="40"/>
      <c r="C7" s="40"/>
      <c r="D7" s="40"/>
      <c r="E7" s="40"/>
      <c r="F7" s="40"/>
      <c r="G7" s="40"/>
      <c r="H7" s="40"/>
      <c r="I7" s="2"/>
    </row>
    <row r="8" spans="1:9" ht="17.25" thickBot="1">
      <c r="A8" s="40"/>
      <c r="B8" s="40"/>
      <c r="C8" s="40"/>
      <c r="D8" s="82"/>
      <c r="E8" s="26"/>
      <c r="F8" s="82"/>
      <c r="H8" s="40"/>
      <c r="I8" s="2"/>
    </row>
    <row r="9" spans="1:9" ht="27" thickBot="1">
      <c r="A9" s="25" t="str">
        <f>+'S&amp;D'!A12</f>
        <v>Air Passenger Carriers</v>
      </c>
      <c r="B9" s="40"/>
      <c r="C9" s="40"/>
      <c r="D9" s="40"/>
      <c r="E9" s="28" t="s">
        <v>278</v>
      </c>
      <c r="F9" s="40"/>
      <c r="H9" s="10"/>
    </row>
    <row r="10" spans="1:9" ht="21" thickBot="1">
      <c r="A10" s="27"/>
      <c r="B10" s="40"/>
      <c r="C10" s="40"/>
      <c r="D10" s="82"/>
      <c r="E10" s="33" t="s">
        <v>478</v>
      </c>
      <c r="F10" s="82"/>
      <c r="H10" s="10"/>
    </row>
    <row r="11" spans="1:9" ht="20.25">
      <c r="A11" s="27"/>
      <c r="B11" s="40"/>
      <c r="C11" s="40"/>
      <c r="D11" s="40"/>
      <c r="E11" s="31"/>
      <c r="F11" s="40"/>
      <c r="H11" s="10"/>
    </row>
    <row r="12" spans="1:9" ht="20.25">
      <c r="A12" s="27"/>
      <c r="B12" s="40"/>
      <c r="C12" s="40"/>
      <c r="D12" s="40"/>
      <c r="E12" s="31"/>
      <c r="F12" s="40"/>
      <c r="H12" s="10"/>
    </row>
    <row r="13" spans="1:9" ht="16.5">
      <c r="B13" s="40"/>
      <c r="C13" s="40"/>
      <c r="D13" s="40"/>
      <c r="E13" s="31"/>
      <c r="F13" s="40"/>
      <c r="H13" s="10"/>
    </row>
    <row r="14" spans="1:9" ht="20.25">
      <c r="A14" s="27"/>
      <c r="B14" s="40"/>
      <c r="C14" s="40"/>
      <c r="D14" s="40"/>
      <c r="E14" s="11" t="s">
        <v>0</v>
      </c>
      <c r="F14" s="40"/>
      <c r="H14" s="10"/>
    </row>
    <row r="15" spans="1:9" ht="17.25" thickBot="1">
      <c r="A15" s="38" t="s">
        <v>0</v>
      </c>
      <c r="B15" s="38" t="s">
        <v>0</v>
      </c>
      <c r="C15" s="38" t="s">
        <v>0</v>
      </c>
      <c r="D15" s="38"/>
      <c r="E15" s="38"/>
      <c r="F15" s="38"/>
      <c r="H15" s="10"/>
    </row>
    <row r="16" spans="1:9" ht="17.25">
      <c r="A16" s="217"/>
      <c r="B16" s="218"/>
      <c r="C16" s="219"/>
      <c r="D16" s="202" t="s">
        <v>0</v>
      </c>
      <c r="E16" s="203" t="s">
        <v>0</v>
      </c>
      <c r="F16" s="202" t="s">
        <v>0</v>
      </c>
      <c r="H16" s="10"/>
    </row>
    <row r="17" spans="1:8" ht="17.25">
      <c r="A17" s="83" t="s">
        <v>0</v>
      </c>
      <c r="B17" s="84" t="s">
        <v>3</v>
      </c>
      <c r="C17" s="85" t="s">
        <v>5</v>
      </c>
      <c r="D17" s="86" t="s">
        <v>0</v>
      </c>
      <c r="E17" s="204" t="s">
        <v>0</v>
      </c>
      <c r="F17" s="86" t="s">
        <v>270</v>
      </c>
      <c r="H17" s="10"/>
    </row>
    <row r="18" spans="1:8" ht="17.25">
      <c r="A18" s="83"/>
      <c r="B18" s="84" t="s">
        <v>4</v>
      </c>
      <c r="C18" s="85" t="s">
        <v>6</v>
      </c>
      <c r="D18" s="86" t="s">
        <v>279</v>
      </c>
      <c r="E18" s="204" t="s">
        <v>279</v>
      </c>
      <c r="F18" s="86" t="s">
        <v>123</v>
      </c>
      <c r="H18" s="10"/>
    </row>
    <row r="19" spans="1:8" ht="18" thickBot="1">
      <c r="A19" s="90" t="s">
        <v>2</v>
      </c>
      <c r="B19" s="91" t="s">
        <v>0</v>
      </c>
      <c r="C19" s="92" t="s">
        <v>0</v>
      </c>
      <c r="D19" s="253" t="s">
        <v>268</v>
      </c>
      <c r="E19" s="252" t="s">
        <v>60</v>
      </c>
      <c r="F19" s="91" t="s">
        <v>0</v>
      </c>
      <c r="H19" s="10"/>
    </row>
    <row r="20" spans="1:8" ht="16.5">
      <c r="A20" s="254" t="s">
        <v>7</v>
      </c>
      <c r="B20" s="235" t="s">
        <v>7</v>
      </c>
      <c r="C20" s="255" t="s">
        <v>7</v>
      </c>
      <c r="D20" s="235" t="s">
        <v>7</v>
      </c>
      <c r="E20" s="261" t="s">
        <v>269</v>
      </c>
      <c r="F20" s="95"/>
      <c r="H20" s="10"/>
    </row>
    <row r="21" spans="1:8" ht="17.25">
      <c r="A21" s="83"/>
      <c r="B21" s="84"/>
      <c r="C21" s="85"/>
      <c r="D21" s="84"/>
      <c r="E21" s="205"/>
      <c r="F21" s="84"/>
      <c r="H21" s="10"/>
    </row>
    <row r="22" spans="1:8" ht="17.25">
      <c r="A22" s="97" t="str">
        <f>+'S&amp;D'!A22</f>
        <v xml:space="preserve">Alaska Air </v>
      </c>
      <c r="B22" s="75" t="str">
        <f>+'S&amp;D'!B22</f>
        <v>ALK</v>
      </c>
      <c r="C22" s="85" t="str">
        <f>+'S&amp;D'!C22</f>
        <v>AirTrans</v>
      </c>
      <c r="D22" s="220">
        <f>+'S&amp;D'!D39</f>
        <v>5811203716.6999998</v>
      </c>
      <c r="E22" s="221">
        <v>4118000000</v>
      </c>
      <c r="F22" s="99">
        <f>+D22/E22</f>
        <v>1.4111713736522584</v>
      </c>
      <c r="H22" s="10"/>
    </row>
    <row r="23" spans="1:8" ht="17.25">
      <c r="A23" s="97" t="str">
        <f>+'S&amp;D'!A23</f>
        <v xml:space="preserve">Allegiant Travel Co. </v>
      </c>
      <c r="B23" s="75" t="str">
        <f>+'S&amp;D'!B23</f>
        <v>ALGT</v>
      </c>
      <c r="C23" s="85" t="str">
        <f>+'S&amp;D'!C23</f>
        <v>AirTrans</v>
      </c>
      <c r="D23" s="220">
        <f>+'S&amp;D'!D40</f>
        <v>1567069633.99</v>
      </c>
      <c r="E23" s="221">
        <v>1052677000</v>
      </c>
      <c r="F23" s="99">
        <f>+D23/E23</f>
        <v>1.4886519169602832</v>
      </c>
      <c r="H23" s="10"/>
    </row>
    <row r="24" spans="1:8" ht="17.25">
      <c r="A24" s="97" t="str">
        <f>+'S&amp;D'!A24</f>
        <v xml:space="preserve">American Airlines </v>
      </c>
      <c r="B24" s="75" t="str">
        <f>+'S&amp;D'!B24</f>
        <v>AAL</v>
      </c>
      <c r="C24" s="85" t="str">
        <f>+'S&amp;D'!C24</f>
        <v>AirTrans</v>
      </c>
      <c r="D24" s="220">
        <f>+'S&amp;D'!D41</f>
        <v>10122415556.4</v>
      </c>
      <c r="E24" s="221">
        <v>-3727000000</v>
      </c>
      <c r="F24" s="99">
        <f>+D24/E24</f>
        <v>-2.7159687567480546</v>
      </c>
      <c r="H24" s="10"/>
    </row>
    <row r="25" spans="1:8" ht="17.25">
      <c r="A25" s="97" t="str">
        <f>+'S&amp;D'!A25</f>
        <v xml:space="preserve">Delta Air Lines </v>
      </c>
      <c r="B25" s="75" t="str">
        <f>+'S&amp;D'!B25</f>
        <v>DAL</v>
      </c>
      <c r="C25" s="85" t="str">
        <f>+'S&amp;D'!C25</f>
        <v>AirTrans</v>
      </c>
      <c r="D25" s="220">
        <f>+'S&amp;D'!D42</f>
        <v>45330083847.800003</v>
      </c>
      <c r="E25" s="221">
        <f>20853000000</f>
        <v>20853000000</v>
      </c>
      <c r="F25" s="99">
        <f t="shared" ref="F25:F29" si="0">+D25/E25</f>
        <v>2.1737919650793653</v>
      </c>
      <c r="H25" s="10"/>
    </row>
    <row r="26" spans="1:8" ht="17.25">
      <c r="A26" s="97" t="str">
        <f>+'S&amp;D'!A26</f>
        <v xml:space="preserve">JetBlue Airways </v>
      </c>
      <c r="B26" s="75" t="str">
        <f>+'S&amp;D'!B26</f>
        <v>JBLU</v>
      </c>
      <c r="C26" s="85" t="str">
        <f>+'S&amp;D'!C26</f>
        <v>AirTrans</v>
      </c>
      <c r="D26" s="220">
        <f>+'S&amp;D'!D43</f>
        <v>1683500000</v>
      </c>
      <c r="E26" s="221">
        <v>2120000000</v>
      </c>
      <c r="F26" s="99">
        <f t="shared" si="0"/>
        <v>0.79410377358490569</v>
      </c>
      <c r="H26" s="10"/>
    </row>
    <row r="27" spans="1:8" ht="17.25">
      <c r="A27" s="97" t="str">
        <f>+'S&amp;D'!A27</f>
        <v>Skywest Inc</v>
      </c>
      <c r="B27" s="75" t="str">
        <f>+'S&amp;D'!B27</f>
        <v>SKYW</v>
      </c>
      <c r="C27" s="85" t="str">
        <f>+'S&amp;D'!C27</f>
        <v>AirTrans</v>
      </c>
      <c r="D27" s="220">
        <f>+'S&amp;D'!D44</f>
        <v>4003495507.6199999</v>
      </c>
      <c r="E27" s="221">
        <v>2746433000</v>
      </c>
      <c r="F27" s="99">
        <f t="shared" si="0"/>
        <v>1.4577073271476129</v>
      </c>
      <c r="H27" s="10"/>
    </row>
    <row r="28" spans="1:8" ht="17.25">
      <c r="A28" s="97" t="str">
        <f>+'S&amp;D'!A28</f>
        <v xml:space="preserve">Southwest Airlines </v>
      </c>
      <c r="B28" s="75" t="str">
        <f>+'S&amp;D'!B28</f>
        <v>LUV</v>
      </c>
      <c r="C28" s="85" t="str">
        <f>+'S&amp;D'!C28</f>
        <v>AirTrans</v>
      </c>
      <c r="D28" s="220">
        <f>+'S&amp;D'!D45</f>
        <v>21308979096.68</v>
      </c>
      <c r="E28" s="221">
        <v>7981000000</v>
      </c>
      <c r="F28" s="99">
        <f t="shared" si="0"/>
        <v>2.6699635505174792</v>
      </c>
      <c r="H28" s="10"/>
    </row>
    <row r="29" spans="1:8" ht="18" thickBot="1">
      <c r="A29" s="258" t="str">
        <f>+'S&amp;D'!A29</f>
        <v>United Airlines Holdings Inc</v>
      </c>
      <c r="B29" s="76" t="str">
        <f>+'S&amp;D'!B29</f>
        <v>UAL</v>
      </c>
      <c r="C29" s="92" t="str">
        <f>+'S&amp;D'!C29</f>
        <v>AirTrans</v>
      </c>
      <c r="D29" s="259">
        <f>+'S&amp;D'!D46</f>
        <v>36170491661.239998</v>
      </c>
      <c r="E29" s="283">
        <v>15282000000</v>
      </c>
      <c r="F29" s="99">
        <f t="shared" si="0"/>
        <v>2.3668689740374296</v>
      </c>
      <c r="G29" t="s">
        <v>0</v>
      </c>
      <c r="H29" s="10"/>
    </row>
    <row r="30" spans="1:8" ht="27" customHeight="1" thickBot="1">
      <c r="A30" s="110"/>
      <c r="B30" s="102"/>
      <c r="C30" s="102"/>
      <c r="D30" s="111"/>
      <c r="E30" s="282" t="s">
        <v>277</v>
      </c>
      <c r="F30" s="175">
        <f>AVERAGE(F22:F29)</f>
        <v>1.2057862655289098</v>
      </c>
      <c r="H30" s="10"/>
    </row>
    <row r="31" spans="1:8" ht="17.25">
      <c r="A31" s="101"/>
      <c r="B31" s="101"/>
      <c r="C31" s="101"/>
      <c r="D31" s="101"/>
      <c r="E31" s="214"/>
      <c r="F31" s="216"/>
      <c r="H31" s="10"/>
    </row>
    <row r="32" spans="1:8" ht="17.25">
      <c r="A32" s="101"/>
      <c r="B32" s="101"/>
      <c r="C32" s="101"/>
      <c r="D32" s="101"/>
      <c r="E32" s="214"/>
      <c r="F32" s="216"/>
      <c r="H32" s="10"/>
    </row>
    <row r="33" spans="1:8" ht="17.25">
      <c r="A33" s="101"/>
      <c r="B33" s="101"/>
      <c r="C33" s="101"/>
      <c r="D33" s="101"/>
      <c r="E33" s="214"/>
      <c r="F33" s="216"/>
      <c r="H33" s="10"/>
    </row>
    <row r="34" spans="1:8" ht="18" thickBot="1">
      <c r="A34" s="101"/>
      <c r="B34" s="101"/>
      <c r="C34" s="101"/>
      <c r="D34" s="101"/>
      <c r="E34" s="101"/>
      <c r="F34" s="101"/>
      <c r="H34" s="10"/>
    </row>
    <row r="35" spans="1:8" ht="17.25">
      <c r="A35" s="217"/>
      <c r="B35" s="218"/>
      <c r="C35" s="219"/>
      <c r="D35" s="202" t="s">
        <v>0</v>
      </c>
      <c r="E35" s="203" t="s">
        <v>0</v>
      </c>
      <c r="F35" s="202" t="s">
        <v>0</v>
      </c>
      <c r="H35" s="10"/>
    </row>
    <row r="36" spans="1:8" ht="17.25">
      <c r="A36" s="83" t="s">
        <v>0</v>
      </c>
      <c r="B36" s="84" t="s">
        <v>3</v>
      </c>
      <c r="C36" s="85" t="s">
        <v>5</v>
      </c>
      <c r="D36" s="86" t="s">
        <v>0</v>
      </c>
      <c r="E36" s="204" t="s">
        <v>0</v>
      </c>
      <c r="F36" s="86" t="s">
        <v>270</v>
      </c>
      <c r="H36" s="10"/>
    </row>
    <row r="37" spans="1:8" ht="17.25">
      <c r="A37" s="83"/>
      <c r="B37" s="84" t="s">
        <v>4</v>
      </c>
      <c r="C37" s="85" t="s">
        <v>6</v>
      </c>
      <c r="D37" s="86" t="s">
        <v>271</v>
      </c>
      <c r="E37" s="204" t="s">
        <v>271</v>
      </c>
      <c r="F37" s="86" t="s">
        <v>123</v>
      </c>
    </row>
    <row r="38" spans="1:8" ht="18" thickBot="1">
      <c r="A38" s="90" t="s">
        <v>2</v>
      </c>
      <c r="B38" s="91" t="s">
        <v>0</v>
      </c>
      <c r="C38" s="92" t="s">
        <v>0</v>
      </c>
      <c r="D38" s="253" t="s">
        <v>268</v>
      </c>
      <c r="E38" s="252" t="s">
        <v>60</v>
      </c>
      <c r="F38" s="91" t="s">
        <v>0</v>
      </c>
    </row>
    <row r="39" spans="1:8">
      <c r="A39" s="254" t="s">
        <v>7</v>
      </c>
      <c r="B39" s="235" t="s">
        <v>7</v>
      </c>
      <c r="C39" s="255" t="s">
        <v>7</v>
      </c>
      <c r="D39" s="235" t="s">
        <v>269</v>
      </c>
      <c r="E39" s="261" t="s">
        <v>269</v>
      </c>
      <c r="F39" s="235"/>
    </row>
    <row r="40" spans="1:8" ht="17.25">
      <c r="A40" s="83"/>
      <c r="B40" s="84"/>
      <c r="C40" s="85"/>
      <c r="D40" s="84"/>
      <c r="E40" s="205"/>
      <c r="F40" s="84"/>
    </row>
    <row r="41" spans="1:8" ht="17.25">
      <c r="A41" s="97" t="str">
        <f t="shared" ref="A41:C48" si="1">+A22</f>
        <v xml:space="preserve">Alaska Air </v>
      </c>
      <c r="B41" s="75" t="str">
        <f t="shared" si="1"/>
        <v>ALK</v>
      </c>
      <c r="C41" s="85" t="str">
        <f t="shared" si="1"/>
        <v>AirTrans</v>
      </c>
      <c r="D41" s="220">
        <f>+'S&amp;D'!H39</f>
        <v>5021889170.5903654</v>
      </c>
      <c r="E41" s="221">
        <f>+'S&amp;D'!J22</f>
        <v>5031000000</v>
      </c>
      <c r="F41" s="99">
        <f t="shared" ref="F41:F48" si="2">+D41/E41</f>
        <v>0.99818906193408174</v>
      </c>
    </row>
    <row r="42" spans="1:8" ht="17.25">
      <c r="A42" s="97" t="str">
        <f t="shared" si="1"/>
        <v xml:space="preserve">Allegiant Travel Co. </v>
      </c>
      <c r="B42" s="75" t="str">
        <f t="shared" si="1"/>
        <v>ALGT</v>
      </c>
      <c r="C42" s="85" t="str">
        <f t="shared" si="1"/>
        <v>AirTrans</v>
      </c>
      <c r="D42" s="220">
        <f>+'S&amp;D'!H40</f>
        <v>1813682294.9366865</v>
      </c>
      <c r="E42" s="221">
        <f>+'S&amp;D'!J23</f>
        <v>1799616000</v>
      </c>
      <c r="F42" s="99">
        <f t="shared" si="2"/>
        <v>1.0078162757703235</v>
      </c>
    </row>
    <row r="43" spans="1:8" ht="17.25">
      <c r="A43" s="97" t="str">
        <f t="shared" si="1"/>
        <v xml:space="preserve">American Airlines </v>
      </c>
      <c r="B43" s="75" t="str">
        <f t="shared" si="1"/>
        <v>AAL</v>
      </c>
      <c r="C43" s="85" t="str">
        <f t="shared" si="1"/>
        <v>AirTrans</v>
      </c>
      <c r="D43" s="220">
        <f>+'S&amp;D'!H41</f>
        <v>28306084653.465347</v>
      </c>
      <c r="E43" s="221">
        <f>+'S&amp;D'!J24</f>
        <v>28007000000</v>
      </c>
      <c r="F43" s="99">
        <f t="shared" si="2"/>
        <v>1.0106789250353607</v>
      </c>
    </row>
    <row r="44" spans="1:8" ht="17.25">
      <c r="A44" s="97" t="str">
        <f t="shared" si="1"/>
        <v xml:space="preserve">Delta Air Lines </v>
      </c>
      <c r="B44" s="75" t="str">
        <f t="shared" si="1"/>
        <v>DAL</v>
      </c>
      <c r="C44" s="85" t="str">
        <f t="shared" si="1"/>
        <v>AirTrans</v>
      </c>
      <c r="D44" s="220">
        <f>+'S&amp;D'!H42</f>
        <v>14209558160.504957</v>
      </c>
      <c r="E44" s="221">
        <f>+'S&amp;D'!J25</f>
        <v>14112000000</v>
      </c>
      <c r="F44" s="99">
        <f t="shared" si="2"/>
        <v>1.0069131349564171</v>
      </c>
    </row>
    <row r="45" spans="1:8" ht="17.25">
      <c r="A45" s="97" t="str">
        <f t="shared" si="1"/>
        <v xml:space="preserve">JetBlue Airways </v>
      </c>
      <c r="B45" s="75" t="str">
        <f t="shared" si="1"/>
        <v>JBLU</v>
      </c>
      <c r="C45" s="85" t="str">
        <f t="shared" si="1"/>
        <v>AirTrans</v>
      </c>
      <c r="D45" s="220">
        <f>+'S&amp;D'!H43</f>
        <v>7829000000</v>
      </c>
      <c r="E45" s="221">
        <f>+'S&amp;D'!J26</f>
        <v>8498000000</v>
      </c>
      <c r="F45" s="99">
        <f t="shared" si="2"/>
        <v>0.9212755942574723</v>
      </c>
    </row>
    <row r="46" spans="1:8" ht="17.25">
      <c r="A46" s="97" t="str">
        <f t="shared" si="1"/>
        <v>Skywest Inc</v>
      </c>
      <c r="B46" s="75" t="str">
        <f t="shared" si="1"/>
        <v>SKYW</v>
      </c>
      <c r="C46" s="85" t="str">
        <f t="shared" si="1"/>
        <v>AirTrans</v>
      </c>
      <c r="D46" s="220">
        <f>+'S&amp;D'!H44</f>
        <v>2360870497.5076494</v>
      </c>
      <c r="E46" s="221">
        <f>+'S&amp;D'!J27</f>
        <v>2392084000</v>
      </c>
      <c r="F46" s="99">
        <f t="shared" si="2"/>
        <v>0.98695133511517552</v>
      </c>
    </row>
    <row r="47" spans="1:8" ht="17.25">
      <c r="A47" s="97" t="str">
        <f t="shared" si="1"/>
        <v xml:space="preserve">Southwest Airlines </v>
      </c>
      <c r="B47" s="75" t="str">
        <f t="shared" si="1"/>
        <v>LUV</v>
      </c>
      <c r="C47" s="85" t="str">
        <f t="shared" si="1"/>
        <v>AirTrans</v>
      </c>
      <c r="D47" s="220">
        <f>+'S&amp;D'!H45</f>
        <v>4878727329.0642433</v>
      </c>
      <c r="E47" s="221">
        <f>+'S&amp;D'!J28</f>
        <v>4901000000</v>
      </c>
      <c r="F47" s="99">
        <f t="shared" si="2"/>
        <v>0.99545548440404885</v>
      </c>
    </row>
    <row r="48" spans="1:8" ht="18" thickBot="1">
      <c r="A48" s="258" t="str">
        <f t="shared" si="1"/>
        <v>United Airlines Holdings Inc</v>
      </c>
      <c r="B48" s="76" t="str">
        <f t="shared" si="1"/>
        <v>UAL</v>
      </c>
      <c r="C48" s="92" t="str">
        <f t="shared" si="1"/>
        <v>AirTrans</v>
      </c>
      <c r="D48" s="259">
        <f>+'S&amp;D'!H46</f>
        <v>25250029718.799961</v>
      </c>
      <c r="E48" s="283">
        <f>+'S&amp;D'!J29</f>
        <v>24988000000</v>
      </c>
      <c r="F48" s="303">
        <f t="shared" si="2"/>
        <v>1.010486222138625</v>
      </c>
      <c r="G48" t="s">
        <v>0</v>
      </c>
    </row>
    <row r="49" spans="1:6" ht="27.75" customHeight="1" thickBot="1">
      <c r="A49" s="256"/>
      <c r="B49" s="137"/>
      <c r="C49" s="137"/>
      <c r="D49" s="257"/>
      <c r="E49" s="282" t="s">
        <v>277</v>
      </c>
      <c r="F49" s="302">
        <f>AVERAGE(F41:F48)</f>
        <v>0.99222075420143818</v>
      </c>
    </row>
    <row r="54" spans="1:6">
      <c r="C54" s="206" t="s">
        <v>272</v>
      </c>
      <c r="D54" s="206" t="s">
        <v>273</v>
      </c>
      <c r="E54" s="206"/>
    </row>
    <row r="55" spans="1:6">
      <c r="A55" s="208"/>
      <c r="B55" s="208"/>
      <c r="C55" s="207" t="s">
        <v>35</v>
      </c>
      <c r="D55" s="207" t="s">
        <v>274</v>
      </c>
      <c r="E55" s="207" t="s">
        <v>275</v>
      </c>
    </row>
    <row r="56" spans="1:6" ht="17.25">
      <c r="A56" s="85" t="s">
        <v>39</v>
      </c>
      <c r="B56" s="126" t="s">
        <v>0</v>
      </c>
      <c r="C56" s="126">
        <f>+'Yield CapRate'!C23</f>
        <v>0.49</v>
      </c>
      <c r="D56" s="212">
        <f>+F30</f>
        <v>1.2057862655289098</v>
      </c>
      <c r="E56" s="213">
        <f>+C56*D56</f>
        <v>0.59083527010916581</v>
      </c>
      <c r="F56" s="127" t="s">
        <v>0</v>
      </c>
    </row>
    <row r="57" spans="1:6" ht="17.25">
      <c r="A57" s="209" t="s">
        <v>41</v>
      </c>
      <c r="B57" s="210" t="str">
        <f>'S&amp;D'!J36</f>
        <v xml:space="preserve"> </v>
      </c>
      <c r="C57" s="210">
        <f>+'Yield CapRate'!C25</f>
        <v>0.51</v>
      </c>
      <c r="D57" s="211">
        <f>+F49</f>
        <v>0.99222075420143818</v>
      </c>
      <c r="E57" s="211">
        <f>+C57*D57</f>
        <v>0.50603258464273349</v>
      </c>
      <c r="F57" s="127" t="s">
        <v>0</v>
      </c>
    </row>
    <row r="58" spans="1:6">
      <c r="D58" s="214" t="s">
        <v>276</v>
      </c>
      <c r="E58" s="215">
        <f>+E56+E57</f>
        <v>1.0968678547518993</v>
      </c>
    </row>
    <row r="61" spans="1:6" ht="20.25">
      <c r="A61" s="27" t="s">
        <v>388</v>
      </c>
    </row>
    <row r="62" spans="1:6" ht="19.5" customHeight="1">
      <c r="A62" s="27" t="s">
        <v>348</v>
      </c>
    </row>
  </sheetData>
  <pageMargins left="0.25" right="0.25" top="0.75" bottom="0.75" header="0.3" footer="0.3"/>
  <pageSetup scale="47" orientation="landscape" r:id="rId1"/>
  <rowBreaks count="1" manualBreakCount="1">
    <brk id="34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L76"/>
  <sheetViews>
    <sheetView view="pageBreakPreview" topLeftCell="A29" zoomScale="70" zoomScaleNormal="80" zoomScaleSheetLayoutView="70" workbookViewId="0">
      <selection activeCell="H48" activeCellId="1" sqref="H7 H48"/>
    </sheetView>
  </sheetViews>
  <sheetFormatPr defaultRowHeight="15"/>
  <cols>
    <col min="1" max="1" width="41" customWidth="1"/>
    <col min="2" max="2" width="10.85546875" bestFit="1" customWidth="1"/>
    <col min="3" max="3" width="10.5703125" customWidth="1"/>
    <col min="4" max="4" width="28.5703125" customWidth="1"/>
    <col min="5" max="5" width="22.425781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7.5703125" bestFit="1" customWidth="1"/>
    <col min="12" max="12" width="23.140625" customWidth="1"/>
  </cols>
  <sheetData>
    <row r="1" spans="1:12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6.5">
      <c r="A3" s="23" t="s">
        <v>465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6.5">
      <c r="A4" s="2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16.5">
      <c r="A5" s="2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6.5">
      <c r="A6" s="2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7.25" thickBot="1">
      <c r="A7" s="10"/>
      <c r="B7" s="10"/>
      <c r="C7" s="10"/>
      <c r="D7" s="10"/>
      <c r="E7" s="10"/>
      <c r="F7" s="26"/>
      <c r="G7" s="26"/>
      <c r="H7" s="497" t="s">
        <v>0</v>
      </c>
      <c r="I7" s="10"/>
      <c r="J7" s="10"/>
      <c r="K7" s="10"/>
      <c r="L7" s="10"/>
    </row>
    <row r="8" spans="1:12" ht="27" thickBot="1">
      <c r="A8" s="226" t="str">
        <f>+'S&amp;D'!A12</f>
        <v>Air Passenger Carriers</v>
      </c>
      <c r="B8" s="227"/>
      <c r="C8" s="167"/>
      <c r="D8" s="10"/>
      <c r="E8" s="10"/>
      <c r="F8" s="10"/>
      <c r="G8" s="28" t="s">
        <v>75</v>
      </c>
      <c r="H8" s="10"/>
      <c r="I8" s="10"/>
      <c r="J8" s="10"/>
      <c r="K8" s="10"/>
      <c r="L8" s="10"/>
    </row>
    <row r="9" spans="1:12" ht="20.25">
      <c r="A9" s="27"/>
      <c r="B9" s="10"/>
      <c r="C9" s="10"/>
      <c r="D9" s="10"/>
      <c r="E9" s="10"/>
      <c r="F9" s="10"/>
      <c r="G9" s="85" t="s">
        <v>76</v>
      </c>
      <c r="H9" s="10"/>
      <c r="I9" s="10"/>
      <c r="J9" s="10"/>
      <c r="K9" s="10"/>
      <c r="L9" s="10"/>
    </row>
    <row r="10" spans="1:12" ht="18" customHeight="1" thickBot="1">
      <c r="A10" s="37" t="s">
        <v>0</v>
      </c>
      <c r="B10" s="37" t="s">
        <v>0</v>
      </c>
      <c r="C10" s="37" t="s">
        <v>0</v>
      </c>
      <c r="D10" s="10"/>
      <c r="E10" s="10"/>
      <c r="F10" s="30" t="s">
        <v>0</v>
      </c>
      <c r="G10" s="33" t="s">
        <v>478</v>
      </c>
      <c r="H10" s="30" t="s">
        <v>0</v>
      </c>
      <c r="I10" s="37" t="s">
        <v>0</v>
      </c>
      <c r="J10" s="10"/>
      <c r="K10" s="10"/>
      <c r="L10" s="10"/>
    </row>
    <row r="11" spans="1:12" ht="18" customHeight="1">
      <c r="A11" s="37"/>
      <c r="B11" s="37"/>
      <c r="C11" s="37"/>
      <c r="D11" s="10"/>
      <c r="E11" s="10"/>
      <c r="J11" s="10"/>
      <c r="K11" s="10"/>
      <c r="L11" s="10"/>
    </row>
    <row r="12" spans="1:12" ht="18" customHeight="1">
      <c r="A12" s="37"/>
      <c r="B12" s="37"/>
      <c r="C12" s="37"/>
      <c r="D12" s="10" t="s">
        <v>0</v>
      </c>
      <c r="E12" s="10" t="s">
        <v>0</v>
      </c>
      <c r="G12" s="11" t="s">
        <v>0</v>
      </c>
      <c r="J12" s="10"/>
      <c r="K12" s="10"/>
      <c r="L12" s="10" t="s">
        <v>0</v>
      </c>
    </row>
    <row r="13" spans="1:12" ht="17.25" thickBot="1">
      <c r="A13" s="30"/>
      <c r="B13" s="30"/>
      <c r="C13" s="30"/>
      <c r="D13" s="30"/>
      <c r="E13" s="33"/>
      <c r="F13" s="30"/>
      <c r="G13" s="30"/>
      <c r="H13" s="30"/>
      <c r="I13" s="30"/>
      <c r="J13" s="26"/>
      <c r="K13" s="26"/>
      <c r="L13" s="26"/>
    </row>
    <row r="14" spans="1:12" ht="15" customHeight="1" thickBot="1">
      <c r="A14" s="30" t="s">
        <v>24</v>
      </c>
      <c r="B14" s="30" t="s">
        <v>88</v>
      </c>
      <c r="C14" s="30" t="s">
        <v>89</v>
      </c>
      <c r="D14" s="38" t="s">
        <v>90</v>
      </c>
      <c r="E14" s="30" t="s">
        <v>91</v>
      </c>
      <c r="F14" s="30" t="s">
        <v>92</v>
      </c>
      <c r="G14" s="30" t="s">
        <v>93</v>
      </c>
      <c r="H14" s="30" t="s">
        <v>94</v>
      </c>
      <c r="I14" s="30" t="s">
        <v>95</v>
      </c>
      <c r="J14" s="30" t="s">
        <v>96</v>
      </c>
      <c r="K14" s="30" t="s">
        <v>97</v>
      </c>
      <c r="L14" s="30" t="s">
        <v>105</v>
      </c>
    </row>
    <row r="15" spans="1:12" ht="16.5">
      <c r="A15" s="31" t="s">
        <v>0</v>
      </c>
      <c r="B15" s="31" t="s">
        <v>3</v>
      </c>
      <c r="C15" s="31" t="s">
        <v>77</v>
      </c>
      <c r="D15" s="31" t="s">
        <v>80</v>
      </c>
      <c r="E15" s="31" t="s">
        <v>80</v>
      </c>
      <c r="F15" s="31" t="s">
        <v>81</v>
      </c>
      <c r="G15" s="31" t="s">
        <v>84</v>
      </c>
      <c r="H15" s="31" t="s">
        <v>86</v>
      </c>
      <c r="I15" s="31" t="s">
        <v>108</v>
      </c>
      <c r="J15" s="31" t="s">
        <v>108</v>
      </c>
      <c r="K15" s="31" t="s">
        <v>101</v>
      </c>
      <c r="L15" s="31" t="s">
        <v>103</v>
      </c>
    </row>
    <row r="16" spans="1:12" ht="17.25" thickBot="1">
      <c r="A16" s="33" t="s">
        <v>2</v>
      </c>
      <c r="B16" s="33" t="s">
        <v>4</v>
      </c>
      <c r="C16" s="33" t="s">
        <v>78</v>
      </c>
      <c r="D16" s="33" t="s">
        <v>83</v>
      </c>
      <c r="E16" s="33" t="s">
        <v>82</v>
      </c>
      <c r="F16" s="33" t="s">
        <v>19</v>
      </c>
      <c r="G16" s="33" t="s">
        <v>85</v>
      </c>
      <c r="H16" s="33" t="s">
        <v>87</v>
      </c>
      <c r="I16" s="33" t="s">
        <v>0</v>
      </c>
      <c r="J16" s="33" t="s">
        <v>0</v>
      </c>
      <c r="K16" s="33" t="s">
        <v>102</v>
      </c>
      <c r="L16" s="33" t="s">
        <v>84</v>
      </c>
    </row>
    <row r="17" spans="1:12">
      <c r="A17" s="39" t="s">
        <v>7</v>
      </c>
      <c r="B17" s="39" t="s">
        <v>7</v>
      </c>
      <c r="C17" s="39" t="s">
        <v>79</v>
      </c>
      <c r="D17" s="39" t="s">
        <v>233</v>
      </c>
      <c r="E17" s="39" t="s">
        <v>233</v>
      </c>
      <c r="F17" s="39" t="s">
        <v>106</v>
      </c>
      <c r="G17" s="39" t="s">
        <v>232</v>
      </c>
      <c r="H17" s="39" t="s">
        <v>98</v>
      </c>
      <c r="I17" s="39" t="s">
        <v>99</v>
      </c>
      <c r="J17" s="39" t="s">
        <v>100</v>
      </c>
      <c r="K17" s="39" t="s">
        <v>107</v>
      </c>
      <c r="L17" s="39" t="s">
        <v>104</v>
      </c>
    </row>
    <row r="18" spans="1:12" ht="16.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 ht="16.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ht="22.5" customHeight="1">
      <c r="A20" s="58" t="str">
        <f>+'S&amp;D'!A22</f>
        <v xml:space="preserve">Alaska Air </v>
      </c>
      <c r="B20" s="85" t="str">
        <f>+'S&amp;D'!B22</f>
        <v>ALK</v>
      </c>
      <c r="C20" s="61">
        <f>+'Growth &amp; Inflation Rates'!$D$56</f>
        <v>2.2800000000000001E-2</v>
      </c>
      <c r="D20" s="313">
        <f>11857000000+4945000000</f>
        <v>16802000000</v>
      </c>
      <c r="E20" s="313">
        <v>15329000000</v>
      </c>
      <c r="F20" s="122">
        <f>(D20+E20)/2</f>
        <v>16065500000</v>
      </c>
      <c r="G20" s="122">
        <v>795000000</v>
      </c>
      <c r="H20" s="16">
        <f>+F20/G20</f>
        <v>20.208176100628929</v>
      </c>
      <c r="I20" s="41">
        <f>+C20*H20</f>
        <v>0.46074641509433961</v>
      </c>
      <c r="J20" s="42">
        <f>1/(1+C20)^H20</f>
        <v>0.63408491175066628</v>
      </c>
      <c r="K20" s="123">
        <f>(G20*I20)/(1-J20)</f>
        <v>1001033878.5221355</v>
      </c>
      <c r="L20" s="124">
        <f>+K20/G20</f>
        <v>1.259162111348598</v>
      </c>
    </row>
    <row r="21" spans="1:12" ht="22.5" customHeight="1">
      <c r="A21" s="58" t="str">
        <f>+'S&amp;D'!A23</f>
        <v xml:space="preserve">Allegiant Travel Co. </v>
      </c>
      <c r="B21" s="85" t="str">
        <f>+'S&amp;D'!B23</f>
        <v>ALGT</v>
      </c>
      <c r="C21" s="61">
        <f>+'Growth &amp; Inflation Rates'!$D$56</f>
        <v>2.2800000000000001E-2</v>
      </c>
      <c r="D21" s="313">
        <f>2947536000+1178315000</f>
        <v>4125851000</v>
      </c>
      <c r="E21" s="313">
        <v>4137143000</v>
      </c>
      <c r="F21" s="122">
        <f>(D21+E21)/2</f>
        <v>4131497000</v>
      </c>
      <c r="G21" s="122">
        <v>249185000</v>
      </c>
      <c r="H21" s="16">
        <f>+F21/G21</f>
        <v>16.5800389269017</v>
      </c>
      <c r="I21" s="41">
        <f>+C21*H21</f>
        <v>0.37802488753335878</v>
      </c>
      <c r="J21" s="42">
        <f>1/(1+C21)^H21</f>
        <v>0.68812841559120119</v>
      </c>
      <c r="K21" s="123">
        <f>(G21*I21)/(1-J21)</f>
        <v>302041405.21031195</v>
      </c>
      <c r="L21" s="124">
        <f>+K21/G21</f>
        <v>1.2121171226611231</v>
      </c>
    </row>
    <row r="22" spans="1:12" ht="22.5" customHeight="1">
      <c r="A22" s="58" t="str">
        <f>+'S&amp;D'!A24</f>
        <v xml:space="preserve">American Airlines </v>
      </c>
      <c r="B22" s="85" t="str">
        <f>+'S&amp;D'!B24</f>
        <v>AAL</v>
      </c>
      <c r="C22" s="61">
        <f>+'Growth &amp; Inflation Rates'!$D$56</f>
        <v>2.2800000000000001E-2</v>
      </c>
      <c r="D22" s="313">
        <v>57732000000</v>
      </c>
      <c r="E22" s="313">
        <v>54735000000</v>
      </c>
      <c r="F22" s="122">
        <f>(D22+E22)/2</f>
        <v>56233500000</v>
      </c>
      <c r="G22" s="122">
        <v>2219000000</v>
      </c>
      <c r="H22" s="16">
        <f>+F22/G22</f>
        <v>25.341820639927896</v>
      </c>
      <c r="I22" s="41">
        <f>+C22*H22</f>
        <v>0.577793510590356</v>
      </c>
      <c r="J22" s="42">
        <f>1/(1+C22)^H22</f>
        <v>0.56478785104606832</v>
      </c>
      <c r="K22" s="123">
        <f>(G22*I22)/(1-J22)</f>
        <v>2945974286.5213904</v>
      </c>
      <c r="L22" s="124">
        <f>+K22/G22</f>
        <v>1.3276134684638983</v>
      </c>
    </row>
    <row r="23" spans="1:12" ht="22.5" customHeight="1">
      <c r="A23" s="58" t="str">
        <f>+'S&amp;D'!A25</f>
        <v xml:space="preserve">Delta Air Lines </v>
      </c>
      <c r="B23" s="85" t="str">
        <f>+'S&amp;D'!B25</f>
        <v>DAL</v>
      </c>
      <c r="C23" s="61">
        <f>+'Growth &amp; Inflation Rates'!$D$56</f>
        <v>2.2800000000000001E-2</v>
      </c>
      <c r="D23" s="313">
        <f>39743000000+24719000000</f>
        <v>64462000000</v>
      </c>
      <c r="E23" s="313">
        <f>37595000000+23228000000</f>
        <v>60823000000</v>
      </c>
      <c r="F23" s="122">
        <f t="shared" ref="F23:F27" si="0">(D23+E23)/2</f>
        <v>62642500000</v>
      </c>
      <c r="G23" s="122">
        <v>2443000000</v>
      </c>
      <c r="H23" s="16">
        <f t="shared" ref="H23:H27" si="1">+F23/G23</f>
        <v>25.641629144494473</v>
      </c>
      <c r="I23" s="41">
        <f t="shared" ref="I23:I27" si="2">+C23*H23</f>
        <v>0.58462914449447401</v>
      </c>
      <c r="J23" s="42">
        <f t="shared" ref="J23:J27" si="3">1/(1+C23)^H23</f>
        <v>0.56098339350876203</v>
      </c>
      <c r="K23" s="123">
        <f t="shared" ref="K23:K27" si="4">(G23*I23)/(1-J23)</f>
        <v>3253291513.0819898</v>
      </c>
      <c r="L23" s="124">
        <f t="shared" ref="L23:L27" si="5">+K23/G23</f>
        <v>1.3316788837830493</v>
      </c>
    </row>
    <row r="24" spans="1:12" ht="22.5" customHeight="1">
      <c r="A24" s="58" t="str">
        <f>+'S&amp;D'!A26</f>
        <v xml:space="preserve">JetBlue Airways </v>
      </c>
      <c r="B24" s="85" t="str">
        <f>+'S&amp;D'!B26</f>
        <v>JBLU</v>
      </c>
      <c r="C24" s="61">
        <f>+'Growth &amp; Inflation Rates'!$D$56</f>
        <v>2.2800000000000001E-2</v>
      </c>
      <c r="D24" s="313">
        <f>1534000000+1377000000</f>
        <v>2911000000</v>
      </c>
      <c r="E24" s="313">
        <f>14418000000+1342000000</f>
        <v>15760000000</v>
      </c>
      <c r="F24" s="122">
        <f t="shared" si="0"/>
        <v>9335500000</v>
      </c>
      <c r="G24" s="122">
        <v>688000000</v>
      </c>
      <c r="H24" s="16">
        <f t="shared" si="1"/>
        <v>13.569040697674419</v>
      </c>
      <c r="I24" s="41">
        <f t="shared" si="2"/>
        <v>0.30937412790697677</v>
      </c>
      <c r="J24" s="42">
        <f t="shared" si="3"/>
        <v>0.73646028322814427</v>
      </c>
      <c r="K24" s="123">
        <f t="shared" si="4"/>
        <v>807655872.92583334</v>
      </c>
      <c r="L24" s="124">
        <f t="shared" si="5"/>
        <v>1.1739184199503392</v>
      </c>
    </row>
    <row r="25" spans="1:12" ht="22.5" customHeight="1">
      <c r="A25" s="58" t="str">
        <f>+'S&amp;D'!A27</f>
        <v>Skywest Inc</v>
      </c>
      <c r="B25" s="85" t="str">
        <f>+'S&amp;D'!B27</f>
        <v>SKYW</v>
      </c>
      <c r="C25" s="61">
        <f>+'Growth &amp; Inflation Rates'!$D$56</f>
        <v>2.2800000000000001E-2</v>
      </c>
      <c r="D25" s="313">
        <v>9730911000</v>
      </c>
      <c r="E25" s="313">
        <v>9132864000</v>
      </c>
      <c r="F25" s="122">
        <f t="shared" si="0"/>
        <v>9431887500</v>
      </c>
      <c r="G25" s="122">
        <v>364497000</v>
      </c>
      <c r="H25" s="16">
        <f t="shared" si="1"/>
        <v>25.876447542778131</v>
      </c>
      <c r="I25" s="41">
        <f t="shared" si="2"/>
        <v>0.58998300397534142</v>
      </c>
      <c r="J25" s="42">
        <f t="shared" si="3"/>
        <v>0.55802154116600311</v>
      </c>
      <c r="K25" s="123">
        <f t="shared" si="4"/>
        <v>486555466.00014222</v>
      </c>
      <c r="L25" s="124">
        <f t="shared" si="5"/>
        <v>1.33486823211204</v>
      </c>
    </row>
    <row r="26" spans="1:12" ht="22.5" customHeight="1">
      <c r="A26" s="58" t="str">
        <f>+'S&amp;D'!A28</f>
        <v xml:space="preserve">Southwest Airlines </v>
      </c>
      <c r="B26" s="85" t="str">
        <f>+'S&amp;D'!B28</f>
        <v>LUV</v>
      </c>
      <c r="C26" s="61">
        <f>+'Growth &amp; Inflation Rates'!$D$56</f>
        <v>2.2800000000000001E-2</v>
      </c>
      <c r="D26" s="313">
        <v>35945000000</v>
      </c>
      <c r="E26" s="313">
        <v>33947000000</v>
      </c>
      <c r="F26" s="122">
        <f t="shared" si="0"/>
        <v>34946000000</v>
      </c>
      <c r="G26" s="122">
        <v>1560000000</v>
      </c>
      <c r="H26" s="16">
        <f t="shared" si="1"/>
        <v>22.401282051282053</v>
      </c>
      <c r="I26" s="41">
        <f t="shared" si="2"/>
        <v>0.51074923076923084</v>
      </c>
      <c r="J26" s="42">
        <f t="shared" si="3"/>
        <v>0.60349730392071321</v>
      </c>
      <c r="K26" s="123">
        <f t="shared" si="4"/>
        <v>2009491506.3091373</v>
      </c>
      <c r="L26" s="124">
        <f t="shared" si="5"/>
        <v>1.2881355809673958</v>
      </c>
    </row>
    <row r="27" spans="1:12" ht="22.5" customHeight="1">
      <c r="A27" s="58" t="str">
        <f>+'S&amp;D'!A29</f>
        <v>United Airlines Holdings Inc</v>
      </c>
      <c r="B27" s="85" t="str">
        <f>+'S&amp;D'!B29</f>
        <v>UAL</v>
      </c>
      <c r="C27" s="61">
        <f>+'Growth &amp; Inflation Rates'!$D$56</f>
        <v>2.2800000000000001E-2</v>
      </c>
      <c r="D27" s="313">
        <v>73586000000</v>
      </c>
      <c r="E27" s="313">
        <v>68031000000</v>
      </c>
      <c r="F27" s="122">
        <f t="shared" si="0"/>
        <v>70808500000</v>
      </c>
      <c r="G27" s="122">
        <v>2939000000</v>
      </c>
      <c r="H27" s="16">
        <f t="shared" si="1"/>
        <v>24.09271861177271</v>
      </c>
      <c r="I27" s="41">
        <f t="shared" si="2"/>
        <v>0.54931398434841783</v>
      </c>
      <c r="J27" s="42">
        <f t="shared" si="3"/>
        <v>0.58091816064684343</v>
      </c>
      <c r="K27" s="123">
        <f t="shared" si="4"/>
        <v>3852311525.8152022</v>
      </c>
      <c r="L27" s="124">
        <f t="shared" si="5"/>
        <v>1.3107558781269828</v>
      </c>
    </row>
    <row r="28" spans="1:12" ht="22.5" customHeight="1" thickBot="1">
      <c r="A28" s="66"/>
      <c r="B28" s="66"/>
      <c r="C28" s="43"/>
      <c r="D28" s="43"/>
      <c r="E28" s="43"/>
      <c r="F28" s="43"/>
      <c r="G28" s="43" t="s">
        <v>0</v>
      </c>
      <c r="H28" s="43"/>
      <c r="I28" s="43" t="s">
        <v>44</v>
      </c>
      <c r="J28" s="43"/>
      <c r="K28" s="43"/>
      <c r="L28" s="43"/>
    </row>
    <row r="29" spans="1:12" ht="22.5" customHeight="1" thickTop="1">
      <c r="A29" s="10"/>
      <c r="B29" s="10"/>
      <c r="C29" s="44" t="s">
        <v>0</v>
      </c>
      <c r="D29" s="44" t="s">
        <v>0</v>
      </c>
      <c r="E29" s="31" t="s">
        <v>0</v>
      </c>
      <c r="F29" s="31"/>
      <c r="G29" s="44" t="s">
        <v>0</v>
      </c>
      <c r="H29" s="31"/>
      <c r="I29" s="44" t="s">
        <v>0</v>
      </c>
      <c r="J29" s="44" t="s">
        <v>0</v>
      </c>
      <c r="K29" s="12" t="s">
        <v>45</v>
      </c>
      <c r="L29" s="310">
        <f>MAX(L20:L27)</f>
        <v>1.33486823211204</v>
      </c>
    </row>
    <row r="30" spans="1:12" ht="22.5" customHeight="1">
      <c r="B30" s="10"/>
      <c r="C30" s="44"/>
      <c r="D30" s="44" t="s">
        <v>0</v>
      </c>
      <c r="E30" s="31" t="s">
        <v>0</v>
      </c>
      <c r="F30" s="31"/>
      <c r="G30" s="44"/>
      <c r="H30" s="31"/>
      <c r="I30" s="44"/>
      <c r="J30" s="44"/>
      <c r="K30" s="275" t="s">
        <v>46</v>
      </c>
      <c r="L30" s="309">
        <f>MIN(L20:L27)</f>
        <v>1.1739184199503392</v>
      </c>
    </row>
    <row r="31" spans="1:12" ht="22.5" customHeight="1">
      <c r="B31" s="10"/>
      <c r="C31" s="10"/>
      <c r="D31" s="10"/>
      <c r="E31" s="10"/>
      <c r="F31" s="10"/>
      <c r="G31" s="10"/>
      <c r="H31" s="10"/>
      <c r="I31" s="10"/>
      <c r="J31" s="10"/>
      <c r="K31" s="12" t="s">
        <v>18</v>
      </c>
      <c r="L31" s="50">
        <f>MEDIAN(L20:L27)</f>
        <v>1.2994457295471893</v>
      </c>
    </row>
    <row r="32" spans="1:12" ht="22.5" customHeight="1">
      <c r="A32" s="10" t="s">
        <v>0</v>
      </c>
      <c r="B32" s="10"/>
      <c r="C32" s="10"/>
      <c r="D32" s="10"/>
      <c r="E32" s="10"/>
      <c r="F32" s="10"/>
      <c r="G32" s="10"/>
      <c r="H32" s="10"/>
      <c r="I32" s="10"/>
      <c r="J32" s="10"/>
      <c r="K32" s="12" t="s">
        <v>387</v>
      </c>
      <c r="L32" s="50">
        <f>AVERAGE(L20:L27)</f>
        <v>1.2797812121766783</v>
      </c>
    </row>
    <row r="33" spans="1:12" ht="22.5" customHeight="1" thickBot="1">
      <c r="A33" s="10"/>
      <c r="B33" s="10"/>
      <c r="C33" s="10"/>
      <c r="D33" s="10"/>
      <c r="E33" s="10"/>
      <c r="F33" s="10"/>
      <c r="G33" s="10" t="s">
        <v>0</v>
      </c>
      <c r="H33" s="10"/>
      <c r="I33" s="10"/>
      <c r="J33" s="10"/>
      <c r="K33" s="10"/>
      <c r="L33" s="10"/>
    </row>
    <row r="34" spans="1:12" ht="22.5" customHeight="1" thickBo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73" t="s">
        <v>200</v>
      </c>
      <c r="L34" s="359">
        <v>1.2798</v>
      </c>
    </row>
    <row r="35" spans="1:12" ht="16.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6.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ht="16.5">
      <c r="A37" s="10" t="s">
        <v>71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16.5">
      <c r="A38" s="10" t="s">
        <v>244</v>
      </c>
    </row>
    <row r="39" spans="1:12" ht="16.5">
      <c r="A39" s="10"/>
    </row>
    <row r="40" spans="1:12" ht="16.5">
      <c r="A40" s="10" t="s">
        <v>347</v>
      </c>
    </row>
    <row r="41" spans="1:12" ht="20.25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</row>
    <row r="42" spans="1:12" ht="26.25">
      <c r="A42" s="21" t="s">
        <v>1</v>
      </c>
      <c r="B42" s="10"/>
      <c r="C42" s="10"/>
      <c r="D42" s="10"/>
      <c r="E42" s="10"/>
      <c r="F42" s="10"/>
      <c r="G42" s="10"/>
      <c r="H42" s="10"/>
      <c r="I42" s="10"/>
      <c r="J42" s="10"/>
      <c r="K42" s="199"/>
      <c r="L42" s="199"/>
    </row>
    <row r="43" spans="1:12" ht="20.25">
      <c r="A43" s="22" t="s">
        <v>9</v>
      </c>
      <c r="B43" s="10"/>
      <c r="C43" s="10"/>
      <c r="D43" s="10"/>
      <c r="E43" s="10"/>
      <c r="F43" s="10"/>
      <c r="G43" s="10"/>
      <c r="H43" s="10"/>
      <c r="I43" s="10"/>
      <c r="J43" s="10"/>
      <c r="K43" s="199"/>
      <c r="L43" s="199"/>
    </row>
    <row r="44" spans="1:12" ht="20.25">
      <c r="A44" s="23" t="s">
        <v>465</v>
      </c>
      <c r="B44" s="10"/>
      <c r="C44" s="10"/>
      <c r="D44" s="10"/>
      <c r="E44" s="10"/>
      <c r="F44" s="10"/>
      <c r="G44" s="10"/>
      <c r="H44" s="10"/>
      <c r="I44" s="10"/>
      <c r="J44" s="10"/>
      <c r="K44" s="199"/>
      <c r="L44" s="199"/>
    </row>
    <row r="45" spans="1:12" ht="20.25">
      <c r="A45" s="23"/>
      <c r="B45" s="10"/>
      <c r="C45" s="10"/>
      <c r="D45" s="10"/>
      <c r="E45" s="10"/>
      <c r="F45" s="10"/>
      <c r="G45" s="10"/>
      <c r="H45" s="10"/>
      <c r="I45" s="10"/>
      <c r="J45" s="10"/>
      <c r="K45" s="199"/>
      <c r="L45" s="199"/>
    </row>
    <row r="46" spans="1:12" ht="20.25">
      <c r="A46" s="23"/>
      <c r="B46" s="10"/>
      <c r="C46" s="10"/>
      <c r="D46" s="10"/>
      <c r="E46" s="10"/>
      <c r="F46" s="10"/>
      <c r="G46" s="10"/>
      <c r="H46" s="10"/>
      <c r="I46" s="10"/>
      <c r="J46" s="10"/>
      <c r="K46" s="199"/>
      <c r="L46" s="199"/>
    </row>
    <row r="47" spans="1:12" ht="20.25">
      <c r="A47" s="23"/>
      <c r="B47" s="10"/>
      <c r="C47" s="10"/>
      <c r="D47" s="10"/>
      <c r="E47" s="10"/>
      <c r="F47" s="10"/>
      <c r="G47" s="10"/>
      <c r="H47" s="10"/>
      <c r="I47" s="10"/>
      <c r="J47" s="10"/>
      <c r="K47" s="199"/>
      <c r="L47" s="199"/>
    </row>
    <row r="48" spans="1:12" ht="21" thickBot="1">
      <c r="B48" s="10"/>
      <c r="C48" s="10"/>
      <c r="D48" s="10"/>
      <c r="E48" s="10"/>
      <c r="F48" s="26"/>
      <c r="G48" s="26"/>
      <c r="H48" s="497" t="s">
        <v>0</v>
      </c>
      <c r="I48" s="10"/>
      <c r="J48" s="10"/>
      <c r="K48" s="199"/>
      <c r="L48" s="199"/>
    </row>
    <row r="49" spans="1:12" ht="26.25">
      <c r="B49" s="10"/>
      <c r="C49" s="10"/>
      <c r="D49" s="10"/>
      <c r="E49" s="10"/>
      <c r="F49" s="10"/>
      <c r="G49" s="28" t="s">
        <v>266</v>
      </c>
      <c r="H49" s="10"/>
      <c r="I49" s="10"/>
      <c r="J49" s="10"/>
      <c r="K49" s="199"/>
      <c r="L49" s="199"/>
    </row>
    <row r="50" spans="1:12" ht="21" thickBot="1">
      <c r="B50" s="37" t="s">
        <v>0</v>
      </c>
      <c r="C50" s="37" t="s">
        <v>0</v>
      </c>
      <c r="D50" s="10"/>
      <c r="E50" s="10"/>
      <c r="F50" s="30" t="s">
        <v>0</v>
      </c>
      <c r="G50" s="33" t="s">
        <v>478</v>
      </c>
      <c r="H50" s="30" t="s">
        <v>0</v>
      </c>
      <c r="I50" s="37" t="s">
        <v>0</v>
      </c>
      <c r="J50" s="10"/>
      <c r="K50" s="199"/>
      <c r="L50" s="199"/>
    </row>
    <row r="51" spans="1:12" ht="20.25">
      <c r="A51" s="199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</row>
    <row r="52" spans="1:12" ht="20.25">
      <c r="A52" s="199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</row>
    <row r="53" spans="1:12" ht="20.25">
      <c r="A53" s="199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</row>
    <row r="54" spans="1:12" ht="16.5">
      <c r="A54" s="37"/>
      <c r="B54" s="37"/>
      <c r="C54" s="37"/>
      <c r="D54" s="10"/>
      <c r="E54" s="10"/>
      <c r="J54" s="10"/>
      <c r="K54" s="10"/>
      <c r="L54" s="10"/>
    </row>
    <row r="55" spans="1:12" ht="31.5">
      <c r="A55" s="193" t="s">
        <v>255</v>
      </c>
      <c r="B55" s="37"/>
      <c r="C55" s="195" t="s">
        <v>260</v>
      </c>
      <c r="D55" s="10"/>
      <c r="E55" s="10"/>
      <c r="J55" s="10"/>
      <c r="K55" s="10"/>
      <c r="L55" s="10"/>
    </row>
    <row r="56" spans="1:12" ht="31.5">
      <c r="A56" s="193" t="s">
        <v>259</v>
      </c>
      <c r="B56" s="37"/>
      <c r="C56" s="195" t="s">
        <v>265</v>
      </c>
      <c r="D56" s="10"/>
      <c r="E56" s="10"/>
      <c r="J56" s="10"/>
      <c r="K56" s="10"/>
      <c r="L56" s="10"/>
    </row>
    <row r="57" spans="1:12" ht="17.25">
      <c r="A57" s="194" t="s">
        <v>256</v>
      </c>
      <c r="B57" s="37"/>
      <c r="C57" s="37"/>
      <c r="D57" s="10"/>
      <c r="E57" s="10"/>
      <c r="J57" s="10"/>
      <c r="K57" s="10"/>
      <c r="L57" s="10"/>
    </row>
    <row r="58" spans="1:12" ht="17.25">
      <c r="A58" s="194" t="s">
        <v>257</v>
      </c>
      <c r="B58" s="37"/>
      <c r="C58" s="37"/>
      <c r="D58" s="10"/>
      <c r="E58" s="10"/>
      <c r="J58" s="10"/>
      <c r="K58" s="10"/>
      <c r="L58" s="10"/>
    </row>
    <row r="59" spans="1:12" ht="17.25">
      <c r="A59" s="194" t="s">
        <v>258</v>
      </c>
      <c r="B59" s="37"/>
      <c r="C59" s="37"/>
      <c r="D59" s="10"/>
      <c r="E59" s="10"/>
      <c r="J59" s="10"/>
      <c r="K59" s="10"/>
      <c r="L59" s="10"/>
    </row>
    <row r="65" spans="1:9" ht="31.5">
      <c r="A65" s="196" t="s">
        <v>264</v>
      </c>
      <c r="B65" s="101"/>
      <c r="C65" s="101"/>
      <c r="D65" s="101"/>
      <c r="E65" s="101"/>
      <c r="F65" s="101"/>
      <c r="G65" s="10"/>
      <c r="H65" s="10"/>
      <c r="I65" s="10"/>
    </row>
    <row r="66" spans="1:9" ht="17.25">
      <c r="A66" s="101"/>
      <c r="B66" s="101"/>
      <c r="C66" s="101"/>
      <c r="D66" s="101"/>
      <c r="E66" s="101"/>
      <c r="F66" s="101"/>
      <c r="G66" s="10"/>
      <c r="H66" s="10"/>
      <c r="I66" s="10"/>
    </row>
    <row r="67" spans="1:9" ht="18" thickBot="1">
      <c r="A67" s="197" t="s">
        <v>261</v>
      </c>
      <c r="B67" s="102"/>
      <c r="C67" s="102"/>
      <c r="D67" s="198" t="s">
        <v>263</v>
      </c>
      <c r="E67" s="102"/>
      <c r="F67" s="101"/>
      <c r="G67" s="10"/>
      <c r="H67" s="10"/>
      <c r="I67" s="10"/>
    </row>
    <row r="68" spans="1:9" ht="17.25">
      <c r="A68" s="101"/>
      <c r="B68" s="101"/>
      <c r="C68" s="101"/>
      <c r="D68" s="101" t="s">
        <v>262</v>
      </c>
      <c r="E68" s="101"/>
      <c r="F68" s="101"/>
      <c r="G68" s="10"/>
      <c r="H68" s="10"/>
      <c r="I68" s="10"/>
    </row>
    <row r="69" spans="1:9" ht="17.25">
      <c r="A69" s="101"/>
      <c r="B69" s="101"/>
      <c r="C69" s="101"/>
      <c r="D69" s="101"/>
      <c r="E69" s="101"/>
      <c r="F69" s="101"/>
      <c r="G69" s="10"/>
      <c r="H69" s="10"/>
      <c r="I69" s="10"/>
    </row>
    <row r="70" spans="1:9" ht="16.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6.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6.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6.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6.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6.5">
      <c r="A75" s="10" t="s">
        <v>0</v>
      </c>
      <c r="B75" s="10"/>
      <c r="C75" s="10"/>
      <c r="D75" s="10"/>
      <c r="E75" s="10"/>
      <c r="F75" s="10"/>
      <c r="G75" s="10"/>
      <c r="H75" s="10"/>
      <c r="I75" s="10"/>
    </row>
    <row r="76" spans="1:9" ht="16.5">
      <c r="A76" s="10"/>
      <c r="B76" s="10"/>
      <c r="C76" s="10"/>
      <c r="D76" s="10"/>
      <c r="E76" s="10"/>
      <c r="F76" s="10"/>
      <c r="G76" s="10"/>
      <c r="H76" s="10"/>
      <c r="I76" s="10"/>
    </row>
  </sheetData>
  <pageMargins left="0.25" right="0.25" top="0.75" bottom="0.75" header="0.3" footer="0.3"/>
  <pageSetup scale="51" orientation="landscape" r:id="rId1"/>
  <rowBreaks count="1" manualBreakCount="1">
    <brk id="40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H36"/>
  <sheetViews>
    <sheetView view="pageBreakPreview" topLeftCell="A9" zoomScale="80" zoomScaleNormal="80" zoomScaleSheetLayoutView="80" workbookViewId="0">
      <selection activeCell="D22" activeCellId="1" sqref="E20:F20 D22:F22"/>
    </sheetView>
  </sheetViews>
  <sheetFormatPr defaultRowHeight="15"/>
  <cols>
    <col min="1" max="1" width="45.140625" customWidth="1"/>
    <col min="2" max="2" width="17" customWidth="1"/>
    <col min="3" max="3" width="24.28515625" customWidth="1"/>
    <col min="4" max="4" width="20.140625" customWidth="1"/>
    <col min="5" max="5" width="31.28515625" customWidth="1"/>
    <col min="6" max="6" width="31.7109375" customWidth="1"/>
    <col min="7" max="7" width="21.42578125" customWidth="1"/>
    <col min="8" max="8" width="28.42578125" customWidth="1"/>
    <col min="9" max="9" width="14.140625" bestFit="1" customWidth="1"/>
    <col min="11" max="11" width="10.5703125" customWidth="1"/>
  </cols>
  <sheetData>
    <row r="1" spans="1:8" ht="26.25">
      <c r="A1" s="21" t="s">
        <v>1</v>
      </c>
      <c r="B1" s="10"/>
      <c r="C1" s="10"/>
      <c r="D1" s="10"/>
      <c r="E1" s="10"/>
      <c r="F1" s="10"/>
      <c r="G1" s="10"/>
      <c r="H1" s="10"/>
    </row>
    <row r="2" spans="1:8" ht="17.25">
      <c r="A2" s="22" t="s">
        <v>9</v>
      </c>
      <c r="B2" s="10"/>
      <c r="C2" s="10"/>
      <c r="D2" s="10"/>
      <c r="E2" s="10"/>
      <c r="F2" s="10"/>
      <c r="G2" s="10"/>
      <c r="H2" s="10"/>
    </row>
    <row r="3" spans="1:8" ht="16.5">
      <c r="A3" s="23" t="s">
        <v>465</v>
      </c>
      <c r="B3" s="10"/>
      <c r="C3" s="10"/>
      <c r="D3" s="10"/>
      <c r="E3" s="10"/>
      <c r="F3" s="10"/>
      <c r="G3" s="10"/>
      <c r="H3" s="10"/>
    </row>
    <row r="4" spans="1:8" ht="16.5">
      <c r="A4" s="23"/>
      <c r="B4" s="10"/>
      <c r="C4" s="10"/>
      <c r="D4" s="10"/>
      <c r="E4" s="10"/>
      <c r="F4" s="10"/>
      <c r="G4" s="10"/>
      <c r="H4" s="10"/>
    </row>
    <row r="5" spans="1:8" ht="16.5">
      <c r="A5" s="23"/>
      <c r="B5" s="10"/>
      <c r="C5" s="10"/>
      <c r="D5" s="10"/>
      <c r="E5" s="10"/>
      <c r="F5" s="10"/>
      <c r="G5" s="10"/>
      <c r="H5" s="10"/>
    </row>
    <row r="6" spans="1:8" ht="16.5">
      <c r="A6" s="23"/>
      <c r="B6" s="10"/>
      <c r="C6" s="10"/>
      <c r="D6" s="10"/>
      <c r="E6" s="10"/>
      <c r="F6" s="10"/>
      <c r="G6" s="10"/>
      <c r="H6" s="10"/>
    </row>
    <row r="7" spans="1:8" ht="17.25" thickBot="1">
      <c r="A7" s="10"/>
      <c r="B7" s="10"/>
      <c r="C7" s="10"/>
      <c r="H7" s="10"/>
    </row>
    <row r="8" spans="1:8" ht="21" thickBot="1">
      <c r="A8" s="226" t="str">
        <f>+'S&amp;D'!A12</f>
        <v>Air Passenger Carriers</v>
      </c>
      <c r="B8" s="167"/>
      <c r="C8" s="10"/>
      <c r="D8" s="26"/>
      <c r="E8" s="26"/>
      <c r="F8" s="26"/>
      <c r="H8" s="10"/>
    </row>
    <row r="9" spans="1:8" ht="26.25">
      <c r="A9" s="27"/>
      <c r="B9" s="10"/>
      <c r="C9" s="10"/>
      <c r="D9" s="10"/>
      <c r="E9" s="28" t="s">
        <v>117</v>
      </c>
      <c r="F9" s="28"/>
      <c r="H9" s="10"/>
    </row>
    <row r="10" spans="1:8" ht="21" thickBot="1">
      <c r="A10" s="27"/>
      <c r="B10" s="10"/>
      <c r="C10" s="10"/>
      <c r="D10" s="26"/>
      <c r="E10" s="33" t="s">
        <v>478</v>
      </c>
      <c r="F10" s="33"/>
      <c r="H10" s="10"/>
    </row>
    <row r="11" spans="1:8" ht="20.25">
      <c r="A11" s="27"/>
      <c r="B11" s="10"/>
      <c r="H11" s="10"/>
    </row>
    <row r="12" spans="1:8" ht="17.25" thickBot="1">
      <c r="A12" s="30" t="s">
        <v>0</v>
      </c>
      <c r="B12" s="30" t="s">
        <v>0</v>
      </c>
      <c r="C12" s="30" t="s">
        <v>0</v>
      </c>
      <c r="D12" s="30" t="s">
        <v>0</v>
      </c>
      <c r="E12" s="30" t="s">
        <v>0</v>
      </c>
      <c r="F12" s="30"/>
      <c r="G12" s="30"/>
      <c r="H12" s="26"/>
    </row>
    <row r="13" spans="1:8" ht="17.25">
      <c r="A13" s="85" t="s">
        <v>0</v>
      </c>
      <c r="B13" s="85" t="s">
        <v>3</v>
      </c>
      <c r="C13" s="85" t="s">
        <v>5</v>
      </c>
      <c r="D13" s="85" t="s">
        <v>21</v>
      </c>
      <c r="E13" s="158" t="s">
        <v>219</v>
      </c>
      <c r="F13" s="158" t="s">
        <v>308</v>
      </c>
      <c r="G13" s="85" t="s">
        <v>20</v>
      </c>
      <c r="H13" s="85" t="s">
        <v>138</v>
      </c>
    </row>
    <row r="14" spans="1:8" ht="18" thickBot="1">
      <c r="A14" s="92" t="s">
        <v>2</v>
      </c>
      <c r="B14" s="92" t="s">
        <v>4</v>
      </c>
      <c r="C14" s="92" t="s">
        <v>6</v>
      </c>
      <c r="D14" s="92" t="s">
        <v>23</v>
      </c>
      <c r="E14" s="92" t="s">
        <v>309</v>
      </c>
      <c r="F14" s="92" t="s">
        <v>181</v>
      </c>
      <c r="G14" s="92" t="s">
        <v>22</v>
      </c>
      <c r="H14" s="92" t="s">
        <v>115</v>
      </c>
    </row>
    <row r="15" spans="1:8">
      <c r="A15" s="35" t="s">
        <v>7</v>
      </c>
      <c r="B15" s="35" t="s">
        <v>7</v>
      </c>
      <c r="C15" s="35" t="s">
        <v>7</v>
      </c>
      <c r="D15" s="35" t="s">
        <v>7</v>
      </c>
      <c r="E15" s="189" t="s">
        <v>466</v>
      </c>
      <c r="F15" s="189" t="s">
        <v>466</v>
      </c>
      <c r="G15" s="35" t="s">
        <v>7</v>
      </c>
      <c r="H15" s="189" t="s">
        <v>466</v>
      </c>
    </row>
    <row r="16" spans="1:8" ht="17.25" thickBot="1">
      <c r="A16" s="31"/>
      <c r="B16" s="31"/>
      <c r="C16" s="31"/>
      <c r="D16" s="31"/>
      <c r="G16" s="31"/>
      <c r="H16" s="31"/>
    </row>
    <row r="17" spans="1:8" ht="16.5">
      <c r="A17" s="139"/>
      <c r="B17" s="104"/>
      <c r="C17" s="104"/>
      <c r="D17" s="104"/>
      <c r="E17" s="263"/>
      <c r="F17" s="263"/>
      <c r="G17" s="104"/>
      <c r="H17" s="140"/>
    </row>
    <row r="18" spans="1:8" ht="20.25" customHeight="1">
      <c r="A18" s="97" t="str">
        <f>+'S&amp;D'!A22</f>
        <v xml:space="preserve">Alaska Air </v>
      </c>
      <c r="B18" s="85" t="str">
        <f>+'S&amp;D'!B22</f>
        <v>ALK</v>
      </c>
      <c r="C18" s="85" t="str">
        <f>+'S&amp;D'!C22</f>
        <v>AirTrans</v>
      </c>
      <c r="D18" s="289">
        <v>0.27</v>
      </c>
      <c r="E18" s="126">
        <v>0.215</v>
      </c>
      <c r="F18" s="126">
        <v>0.215</v>
      </c>
      <c r="G18" s="85" t="s">
        <v>25</v>
      </c>
      <c r="H18" s="352">
        <v>1.35</v>
      </c>
    </row>
    <row r="19" spans="1:8" ht="20.25" customHeight="1">
      <c r="A19" s="97" t="str">
        <f>+'S&amp;D'!A23</f>
        <v xml:space="preserve">Allegiant Travel Co. </v>
      </c>
      <c r="B19" s="85" t="str">
        <f>+'S&amp;D'!B23</f>
        <v>ALGT</v>
      </c>
      <c r="C19" s="85" t="str">
        <f>+'S&amp;D'!C23</f>
        <v>AirTrans</v>
      </c>
      <c r="D19" s="127">
        <v>0.25</v>
      </c>
      <c r="E19" s="126">
        <v>0.15</v>
      </c>
      <c r="F19" s="126">
        <v>0.15</v>
      </c>
      <c r="G19" s="85" t="s">
        <v>25</v>
      </c>
      <c r="H19" s="352">
        <v>1.5</v>
      </c>
    </row>
    <row r="20" spans="1:8" ht="20.25" customHeight="1">
      <c r="A20" s="97" t="str">
        <f>+'S&amp;D'!A24</f>
        <v xml:space="preserve">American Airlines </v>
      </c>
      <c r="B20" s="85" t="str">
        <f>+'S&amp;D'!B24</f>
        <v>AAL</v>
      </c>
      <c r="C20" s="85" t="str">
        <f>+'S&amp;D'!C24</f>
        <v>AirTrans</v>
      </c>
      <c r="D20" s="289">
        <v>0.25</v>
      </c>
      <c r="E20" s="498" t="s">
        <v>487</v>
      </c>
      <c r="F20" s="498" t="s">
        <v>487</v>
      </c>
      <c r="G20" s="85" t="s">
        <v>88</v>
      </c>
      <c r="H20" s="352">
        <v>1.4</v>
      </c>
    </row>
    <row r="21" spans="1:8" ht="20.25" customHeight="1">
      <c r="A21" s="97" t="str">
        <f>+'S&amp;D'!A25</f>
        <v xml:space="preserve">Delta Air Lines </v>
      </c>
      <c r="B21" s="85" t="str">
        <f>+'S&amp;D'!B25</f>
        <v>DAL</v>
      </c>
      <c r="C21" s="85" t="str">
        <f>+'S&amp;D'!C25</f>
        <v>AirTrans</v>
      </c>
      <c r="D21" s="127">
        <v>0.245</v>
      </c>
      <c r="E21" s="126">
        <v>0.19</v>
      </c>
      <c r="F21" s="126">
        <v>0.17</v>
      </c>
      <c r="G21" s="85" t="s">
        <v>497</v>
      </c>
      <c r="H21" s="352">
        <v>1.45</v>
      </c>
    </row>
    <row r="22" spans="1:8" ht="20.25" customHeight="1">
      <c r="A22" s="97" t="str">
        <f>+'S&amp;D'!A26</f>
        <v xml:space="preserve">JetBlue Airways </v>
      </c>
      <c r="B22" s="85" t="str">
        <f>+'S&amp;D'!B26</f>
        <v>JBLU</v>
      </c>
      <c r="C22" s="85" t="str">
        <f>+'S&amp;D'!C26</f>
        <v>AirTrans</v>
      </c>
      <c r="D22" s="499" t="s">
        <v>487</v>
      </c>
      <c r="E22" s="498" t="s">
        <v>487</v>
      </c>
      <c r="F22" s="498" t="s">
        <v>487</v>
      </c>
      <c r="G22" s="85" t="s">
        <v>498</v>
      </c>
      <c r="H22" s="352">
        <v>1.6</v>
      </c>
    </row>
    <row r="23" spans="1:8" ht="20.25" customHeight="1">
      <c r="A23" s="97" t="str">
        <f>+'S&amp;D'!A27</f>
        <v>Skywest Inc</v>
      </c>
      <c r="B23" s="85" t="str">
        <f>+'S&amp;D'!B27</f>
        <v>SKYW</v>
      </c>
      <c r="C23" s="85" t="str">
        <f>+'S&amp;D'!C27</f>
        <v>AirTrans</v>
      </c>
      <c r="D23" s="127">
        <v>0.25</v>
      </c>
      <c r="E23" s="126">
        <v>0.13500000000000001</v>
      </c>
      <c r="F23" s="126">
        <v>0.13500000000000001</v>
      </c>
      <c r="G23" s="85" t="s">
        <v>497</v>
      </c>
      <c r="H23" s="352">
        <v>1.45</v>
      </c>
    </row>
    <row r="24" spans="1:8" ht="20.25" customHeight="1">
      <c r="A24" s="97" t="str">
        <f>+'S&amp;D'!A28</f>
        <v xml:space="preserve">Southwest Airlines </v>
      </c>
      <c r="B24" s="85" t="str">
        <f>+'S&amp;D'!B28</f>
        <v>LUV</v>
      </c>
      <c r="C24" s="85" t="str">
        <f>+'S&amp;D'!C28</f>
        <v>AirTrans</v>
      </c>
      <c r="D24" s="127">
        <v>0.23</v>
      </c>
      <c r="E24" s="126">
        <v>0.155</v>
      </c>
      <c r="F24" s="126">
        <v>0.1</v>
      </c>
      <c r="G24" s="85" t="s">
        <v>497</v>
      </c>
      <c r="H24" s="352">
        <v>1.3</v>
      </c>
    </row>
    <row r="25" spans="1:8" ht="20.25" customHeight="1">
      <c r="A25" s="97" t="str">
        <f>+'S&amp;D'!A29</f>
        <v>United Airlines Holdings Inc</v>
      </c>
      <c r="B25" s="85" t="str">
        <f>+'S&amp;D'!B29</f>
        <v>UAL</v>
      </c>
      <c r="C25" s="85" t="str">
        <f>+'S&amp;D'!C29</f>
        <v>AirTrans</v>
      </c>
      <c r="D25" s="127">
        <v>0.23</v>
      </c>
      <c r="E25" s="126">
        <v>0.26</v>
      </c>
      <c r="F25" s="126">
        <v>0.26</v>
      </c>
      <c r="G25" s="85" t="s">
        <v>25</v>
      </c>
      <c r="H25" s="352">
        <v>1.6</v>
      </c>
    </row>
    <row r="26" spans="1:8" ht="20.25" customHeight="1" thickBot="1">
      <c r="A26" s="97" t="s">
        <v>0</v>
      </c>
      <c r="B26" s="85" t="s">
        <v>0</v>
      </c>
      <c r="C26" s="85" t="s">
        <v>0</v>
      </c>
      <c r="D26" s="264" t="s">
        <v>0</v>
      </c>
      <c r="E26" s="223" t="s">
        <v>0</v>
      </c>
      <c r="F26" s="223" t="s">
        <v>0</v>
      </c>
      <c r="G26" s="290" t="s">
        <v>0</v>
      </c>
      <c r="H26" s="291" t="s">
        <v>0</v>
      </c>
    </row>
    <row r="27" spans="1:8" ht="20.25" customHeight="1" thickTop="1">
      <c r="A27" s="101"/>
      <c r="B27" s="101"/>
      <c r="C27" s="4"/>
      <c r="D27" s="154" t="s">
        <v>0</v>
      </c>
      <c r="E27" s="4"/>
      <c r="F27" s="4"/>
      <c r="G27" s="112" t="s">
        <v>45</v>
      </c>
      <c r="H27" s="305">
        <f>MAX(H18:H25)</f>
        <v>1.6</v>
      </c>
    </row>
    <row r="28" spans="1:8" ht="20.25" customHeight="1">
      <c r="A28" s="101"/>
      <c r="B28" s="101"/>
      <c r="C28" s="4"/>
      <c r="D28" s="154" t="s">
        <v>0</v>
      </c>
      <c r="E28" s="4"/>
      <c r="F28" s="4"/>
      <c r="G28" s="112" t="s">
        <v>46</v>
      </c>
      <c r="H28" s="306">
        <f>MIN(H18:H25)</f>
        <v>1.3</v>
      </c>
    </row>
    <row r="29" spans="1:8" ht="20.25" customHeight="1">
      <c r="A29" s="101"/>
      <c r="B29" s="101"/>
      <c r="C29" s="4"/>
      <c r="D29" s="155" t="s">
        <v>0</v>
      </c>
      <c r="E29" s="4"/>
      <c r="F29" s="4"/>
      <c r="G29" s="112" t="s">
        <v>18</v>
      </c>
      <c r="H29" s="156">
        <f>MEDIAN(H18:H26)</f>
        <v>1.45</v>
      </c>
    </row>
    <row r="30" spans="1:8" ht="20.25" customHeight="1">
      <c r="A30" s="101"/>
      <c r="B30" s="101"/>
      <c r="C30" s="4"/>
      <c r="D30" s="115" t="s">
        <v>0</v>
      </c>
      <c r="E30" s="4"/>
      <c r="F30" s="4"/>
      <c r="G30" s="112" t="s">
        <v>387</v>
      </c>
      <c r="H30" s="157">
        <f>AVERAGE(H18:H26)</f>
        <v>1.45625</v>
      </c>
    </row>
    <row r="31" spans="1:8" ht="20.25" customHeight="1" thickBot="1">
      <c r="A31" s="10"/>
      <c r="B31" s="10"/>
      <c r="C31" s="10"/>
      <c r="D31" s="10" t="s">
        <v>0</v>
      </c>
      <c r="G31" s="10"/>
      <c r="H31" s="10"/>
    </row>
    <row r="32" spans="1:8" ht="20.25" customHeight="1" thickBot="1">
      <c r="A32" s="10"/>
      <c r="B32" s="10"/>
      <c r="C32" s="10"/>
      <c r="D32" s="10"/>
      <c r="G32" s="173" t="s">
        <v>73</v>
      </c>
      <c r="H32" s="341">
        <v>1.46</v>
      </c>
    </row>
    <row r="33" spans="1:8" ht="20.25" customHeight="1">
      <c r="A33" s="10"/>
      <c r="B33" s="10"/>
      <c r="C33" s="10"/>
      <c r="D33" s="10"/>
      <c r="G33" s="10"/>
      <c r="H33" s="243"/>
    </row>
    <row r="34" spans="1:8" ht="20.25" customHeight="1">
      <c r="A34" s="10"/>
      <c r="B34" s="10"/>
      <c r="C34" s="10"/>
      <c r="D34" s="10"/>
      <c r="G34" s="10"/>
      <c r="H34" s="243"/>
    </row>
    <row r="35" spans="1:8" ht="17.25">
      <c r="A35" s="101" t="s">
        <v>311</v>
      </c>
    </row>
    <row r="36" spans="1:8" ht="17.25">
      <c r="A36" s="101" t="s">
        <v>310</v>
      </c>
    </row>
  </sheetData>
  <pageMargins left="0.25" right="0.25" top="0.75" bottom="0.75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31"/>
  <sheetViews>
    <sheetView view="pageBreakPreview" zoomScale="60" zoomScaleNormal="80" workbookViewId="0">
      <selection activeCell="E23" activeCellId="7" sqref="F6 E16:G16 E17:F18 G18 I18 E20:I20 E21:H21 E23:I23"/>
    </sheetView>
  </sheetViews>
  <sheetFormatPr defaultRowHeight="15"/>
  <cols>
    <col min="1" max="1" width="50.42578125" customWidth="1"/>
    <col min="2" max="2" width="10.85546875" bestFit="1" customWidth="1"/>
    <col min="3" max="3" width="19.140625" bestFit="1" customWidth="1"/>
    <col min="4" max="4" width="15.425781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5703125" customWidth="1"/>
    <col min="12" max="12" width="23.5703125" customWidth="1"/>
  </cols>
  <sheetData>
    <row r="1" spans="1:11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6.5">
      <c r="A3" s="23" t="s">
        <v>465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ht="16.5">
      <c r="A4" s="23"/>
      <c r="B4" s="10"/>
      <c r="C4" s="10"/>
      <c r="D4" s="10"/>
      <c r="E4" s="10"/>
      <c r="F4" s="10"/>
      <c r="G4" s="10"/>
      <c r="H4" s="10"/>
      <c r="I4" s="10"/>
      <c r="J4" s="10"/>
    </row>
    <row r="5" spans="1:11" ht="17.25" thickBot="1">
      <c r="A5" s="10"/>
      <c r="B5" s="10"/>
      <c r="C5" s="10"/>
      <c r="D5" s="10"/>
      <c r="E5" s="10"/>
      <c r="F5" s="10"/>
      <c r="G5" s="24"/>
      <c r="H5" s="10"/>
      <c r="I5" s="10"/>
      <c r="J5" s="10"/>
    </row>
    <row r="6" spans="1:11" ht="21" thickBot="1">
      <c r="A6" s="226" t="str">
        <f>+'S&amp;D'!A12</f>
        <v>Air Passenger Carriers</v>
      </c>
      <c r="B6" s="167"/>
      <c r="C6" s="10"/>
      <c r="D6" s="26"/>
      <c r="E6" s="26"/>
      <c r="F6" s="497" t="s">
        <v>0</v>
      </c>
      <c r="G6" s="10"/>
      <c r="H6" s="10"/>
      <c r="I6" s="10"/>
      <c r="J6" s="10"/>
    </row>
    <row r="7" spans="1:11" ht="26.25">
      <c r="A7" s="27"/>
      <c r="B7" s="10"/>
      <c r="C7" s="10"/>
      <c r="D7" s="10"/>
      <c r="E7" s="28" t="s">
        <v>161</v>
      </c>
      <c r="F7" s="10"/>
      <c r="G7" s="10"/>
      <c r="H7" s="10"/>
      <c r="I7" s="10"/>
      <c r="J7" s="10"/>
    </row>
    <row r="8" spans="1:11" ht="21" thickBot="1">
      <c r="A8" s="27"/>
      <c r="B8" s="10"/>
      <c r="C8" s="10"/>
      <c r="D8" s="26"/>
      <c r="E8" s="29" t="s">
        <v>478</v>
      </c>
      <c r="F8" s="26"/>
      <c r="G8" s="10"/>
      <c r="H8" s="10"/>
      <c r="I8" s="10"/>
      <c r="J8" s="10"/>
    </row>
    <row r="9" spans="1:11" ht="17.25" thickBot="1">
      <c r="A9" s="30" t="s">
        <v>0</v>
      </c>
      <c r="B9" s="30" t="s">
        <v>0</v>
      </c>
      <c r="C9" s="30" t="s">
        <v>0</v>
      </c>
      <c r="D9" s="30" t="s">
        <v>0</v>
      </c>
      <c r="E9" s="30" t="s">
        <v>0</v>
      </c>
      <c r="F9" s="30"/>
      <c r="G9" s="26"/>
      <c r="H9" s="26"/>
      <c r="I9" s="26"/>
      <c r="J9" s="26"/>
      <c r="K9" s="137"/>
    </row>
    <row r="10" spans="1:11" ht="16.5">
      <c r="A10" s="31" t="s">
        <v>0</v>
      </c>
      <c r="B10" s="31" t="s">
        <v>3</v>
      </c>
      <c r="C10" s="31" t="s">
        <v>5</v>
      </c>
      <c r="D10" s="31" t="s">
        <v>156</v>
      </c>
      <c r="E10" s="31" t="s">
        <v>157</v>
      </c>
      <c r="F10" s="31" t="s">
        <v>159</v>
      </c>
      <c r="G10" s="31" t="s">
        <v>157</v>
      </c>
      <c r="H10" s="31" t="s">
        <v>159</v>
      </c>
      <c r="I10" s="31" t="s">
        <v>157</v>
      </c>
      <c r="J10" s="31" t="s">
        <v>159</v>
      </c>
      <c r="K10" s="31" t="s">
        <v>248</v>
      </c>
    </row>
    <row r="11" spans="1:11" ht="16.5">
      <c r="A11" s="31"/>
      <c r="B11" s="31" t="s">
        <v>4</v>
      </c>
      <c r="C11" s="31" t="s">
        <v>6</v>
      </c>
      <c r="D11" s="31" t="s">
        <v>27</v>
      </c>
      <c r="E11" s="31" t="s">
        <v>158</v>
      </c>
      <c r="F11" s="31" t="s">
        <v>116</v>
      </c>
      <c r="G11" s="31" t="s">
        <v>158</v>
      </c>
      <c r="H11" s="31" t="s">
        <v>116</v>
      </c>
      <c r="I11" s="31" t="s">
        <v>158</v>
      </c>
      <c r="J11" s="31" t="s">
        <v>116</v>
      </c>
      <c r="K11" s="31" t="s">
        <v>173</v>
      </c>
    </row>
    <row r="12" spans="1:11" ht="17.25" thickBot="1">
      <c r="A12" s="33" t="s">
        <v>2</v>
      </c>
      <c r="B12" s="33" t="s">
        <v>0</v>
      </c>
      <c r="C12" s="33" t="s">
        <v>0</v>
      </c>
      <c r="D12" s="33" t="s">
        <v>0</v>
      </c>
      <c r="E12" s="33" t="s">
        <v>160</v>
      </c>
      <c r="F12" s="33" t="s">
        <v>160</v>
      </c>
      <c r="G12" s="33" t="s">
        <v>246</v>
      </c>
      <c r="H12" s="33" t="s">
        <v>246</v>
      </c>
      <c r="I12" s="33" t="s">
        <v>247</v>
      </c>
      <c r="J12" s="33" t="s">
        <v>247</v>
      </c>
      <c r="K12" s="191" t="s">
        <v>249</v>
      </c>
    </row>
    <row r="13" spans="1:11">
      <c r="A13" s="35" t="s">
        <v>7</v>
      </c>
      <c r="B13" s="35" t="s">
        <v>7</v>
      </c>
      <c r="C13" s="35" t="s">
        <v>7</v>
      </c>
      <c r="D13" s="36" t="s">
        <v>112</v>
      </c>
      <c r="E13" s="35" t="s">
        <v>7</v>
      </c>
      <c r="F13" s="35" t="s">
        <v>15</v>
      </c>
      <c r="G13" s="35" t="s">
        <v>7</v>
      </c>
      <c r="H13" s="35" t="s">
        <v>15</v>
      </c>
      <c r="I13" s="35" t="s">
        <v>7</v>
      </c>
      <c r="J13" s="35" t="s">
        <v>15</v>
      </c>
      <c r="K13" s="35" t="s">
        <v>15</v>
      </c>
    </row>
    <row r="14" spans="1:11" ht="16.5">
      <c r="A14" s="31"/>
      <c r="B14" s="31"/>
      <c r="C14" s="31"/>
      <c r="D14" s="31"/>
      <c r="E14" s="31"/>
      <c r="F14" s="31"/>
      <c r="G14" s="10"/>
      <c r="H14" s="10"/>
      <c r="I14" s="10"/>
      <c r="J14" s="10"/>
      <c r="K14" s="10"/>
    </row>
    <row r="15" spans="1:11" ht="16.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7.25">
      <c r="A16" s="58" t="str">
        <f>+'S&amp;D'!A22</f>
        <v xml:space="preserve">Alaska Air </v>
      </c>
      <c r="B16" s="85" t="str">
        <f>+'S&amp;D'!B22</f>
        <v>ALK</v>
      </c>
      <c r="C16" s="85" t="str">
        <f>+'S&amp;D'!C22</f>
        <v>AirTrans</v>
      </c>
      <c r="D16" s="55">
        <f>+'S&amp;D'!G22</f>
        <v>50.3</v>
      </c>
      <c r="E16" s="500" t="s">
        <v>485</v>
      </c>
      <c r="F16" s="501" t="s">
        <v>460</v>
      </c>
      <c r="G16" s="500" t="s">
        <v>485</v>
      </c>
      <c r="H16" s="61" t="s">
        <v>460</v>
      </c>
      <c r="I16" s="57">
        <v>0.6</v>
      </c>
      <c r="J16" s="61">
        <f>+I16/D16</f>
        <v>1.1928429423459244E-2</v>
      </c>
      <c r="K16" s="190" t="s">
        <v>460</v>
      </c>
    </row>
    <row r="17" spans="1:11" ht="17.25">
      <c r="A17" s="58" t="str">
        <f>+'S&amp;D'!A23</f>
        <v xml:space="preserve">Allegiant Travel Co. </v>
      </c>
      <c r="B17" s="85" t="str">
        <f>+'S&amp;D'!B23</f>
        <v>ALGT</v>
      </c>
      <c r="C17" s="85" t="str">
        <f>+'S&amp;D'!C23</f>
        <v>AirTrans</v>
      </c>
      <c r="D17" s="55">
        <f>+'S&amp;D'!G23</f>
        <v>85.27</v>
      </c>
      <c r="E17" s="500" t="s">
        <v>485</v>
      </c>
      <c r="F17" s="501" t="s">
        <v>460</v>
      </c>
      <c r="G17" s="57">
        <v>0.1</v>
      </c>
      <c r="H17" s="61">
        <f>+G17/D17</f>
        <v>1.1727453969743169E-3</v>
      </c>
      <c r="I17" s="57">
        <v>0.6</v>
      </c>
      <c r="J17" s="61">
        <f>+I17/D17</f>
        <v>7.0364723818459015E-3</v>
      </c>
      <c r="K17" s="190">
        <f>RATE(3,,-G17,I17)</f>
        <v>0.81712059283213934</v>
      </c>
    </row>
    <row r="18" spans="1:11" ht="17.25">
      <c r="A18" s="58" t="str">
        <f>+'S&amp;D'!A24</f>
        <v xml:space="preserve">American Airlines </v>
      </c>
      <c r="B18" s="85" t="str">
        <f>+'S&amp;D'!B24</f>
        <v>AAL</v>
      </c>
      <c r="C18" s="85" t="str">
        <f>+'S&amp;D'!C24</f>
        <v>AirTrans</v>
      </c>
      <c r="D18" s="55">
        <f>+'S&amp;D'!G24</f>
        <v>15.33</v>
      </c>
      <c r="E18" s="500" t="s">
        <v>485</v>
      </c>
      <c r="F18" s="501" t="s">
        <v>460</v>
      </c>
      <c r="G18" s="500" t="s">
        <v>485</v>
      </c>
      <c r="H18" s="61" t="s">
        <v>460</v>
      </c>
      <c r="I18" s="500" t="s">
        <v>485</v>
      </c>
      <c r="J18" s="61" t="s">
        <v>460</v>
      </c>
      <c r="K18" s="190" t="s">
        <v>460</v>
      </c>
    </row>
    <row r="19" spans="1:11" ht="17.25">
      <c r="A19" s="58" t="str">
        <f>+'S&amp;D'!A25</f>
        <v xml:space="preserve">Delta Air Lines </v>
      </c>
      <c r="B19" s="85" t="str">
        <f>+'S&amp;D'!B25</f>
        <v>DAL</v>
      </c>
      <c r="C19" s="85" t="str">
        <f>+'S&amp;D'!C25</f>
        <v>AirTrans</v>
      </c>
      <c r="D19" s="55">
        <f>+'S&amp;D'!G25</f>
        <v>69.400000000000006</v>
      </c>
      <c r="E19" s="57">
        <v>0.75</v>
      </c>
      <c r="F19" s="61">
        <f t="shared" ref="F19:F22" si="0">+E19/D19</f>
        <v>1.0806916426512967E-2</v>
      </c>
      <c r="G19" s="57">
        <v>0.85</v>
      </c>
      <c r="H19" s="61">
        <f t="shared" ref="H19:H22" si="1">+G19/D19</f>
        <v>1.2247838616714695E-2</v>
      </c>
      <c r="I19" s="57">
        <v>1</v>
      </c>
      <c r="J19" s="61">
        <f>+I19/D19</f>
        <v>1.4409221902017291E-2</v>
      </c>
      <c r="K19" s="190">
        <f>RATE(3,,-G19,I19)</f>
        <v>5.5667191978000803E-2</v>
      </c>
    </row>
    <row r="20" spans="1:11" ht="17.25">
      <c r="A20" s="58" t="str">
        <f>+'S&amp;D'!A26</f>
        <v xml:space="preserve">JetBlue Airways </v>
      </c>
      <c r="B20" s="85" t="str">
        <f>+'S&amp;D'!B26</f>
        <v>JBLU</v>
      </c>
      <c r="C20" s="85" t="str">
        <f>+'S&amp;D'!C26</f>
        <v>AirTrans</v>
      </c>
      <c r="D20" s="55">
        <f>+'S&amp;D'!G26</f>
        <v>4.55</v>
      </c>
      <c r="E20" s="500" t="s">
        <v>485</v>
      </c>
      <c r="F20" s="501" t="s">
        <v>460</v>
      </c>
      <c r="G20" s="500" t="s">
        <v>485</v>
      </c>
      <c r="H20" s="501" t="s">
        <v>460</v>
      </c>
      <c r="I20" s="500" t="s">
        <v>485</v>
      </c>
      <c r="J20" s="61" t="s">
        <v>460</v>
      </c>
      <c r="K20" s="190" t="s">
        <v>460</v>
      </c>
    </row>
    <row r="21" spans="1:11" ht="17.25">
      <c r="A21" s="58" t="str">
        <f>+'S&amp;D'!A27</f>
        <v>Skywest Inc</v>
      </c>
      <c r="B21" s="85" t="str">
        <f>+'S&amp;D'!B27</f>
        <v>SKYW</v>
      </c>
      <c r="C21" s="85" t="str">
        <f>+'S&amp;D'!C27</f>
        <v>AirTrans</v>
      </c>
      <c r="D21" s="55">
        <f>+'S&amp;D'!G27</f>
        <v>100.41</v>
      </c>
      <c r="E21" s="500" t="s">
        <v>485</v>
      </c>
      <c r="F21" s="501" t="s">
        <v>460</v>
      </c>
      <c r="G21" s="500" t="s">
        <v>485</v>
      </c>
      <c r="H21" s="501" t="s">
        <v>460</v>
      </c>
      <c r="I21" s="57">
        <v>0.32</v>
      </c>
      <c r="J21" s="61">
        <f>+I21/D21</f>
        <v>3.1869335723533516E-3</v>
      </c>
      <c r="K21" s="190" t="s">
        <v>460</v>
      </c>
    </row>
    <row r="22" spans="1:11" ht="17.25">
      <c r="A22" s="58" t="str">
        <f>+'S&amp;D'!A28</f>
        <v xml:space="preserve">Southwest Airlines </v>
      </c>
      <c r="B22" s="85" t="str">
        <f>+'S&amp;D'!B28</f>
        <v>LUV</v>
      </c>
      <c r="C22" s="85" t="str">
        <f>+'S&amp;D'!C28</f>
        <v>AirTrans</v>
      </c>
      <c r="D22" s="55">
        <f>+'S&amp;D'!G28</f>
        <v>41.33</v>
      </c>
      <c r="E22" s="57">
        <v>0.72</v>
      </c>
      <c r="F22" s="61">
        <f t="shared" si="0"/>
        <v>1.7420759738688604E-2</v>
      </c>
      <c r="G22" s="57">
        <v>0.76</v>
      </c>
      <c r="H22" s="61">
        <f t="shared" si="1"/>
        <v>1.8388579724171305E-2</v>
      </c>
      <c r="I22" s="57">
        <v>1.3</v>
      </c>
      <c r="J22" s="61">
        <f>+I22/D22</f>
        <v>3.1454149528187758E-2</v>
      </c>
      <c r="K22" s="190">
        <f>RATE(3,,-G22,I22)</f>
        <v>0.19594145467508342</v>
      </c>
    </row>
    <row r="23" spans="1:11" ht="17.25">
      <c r="A23" s="58" t="str">
        <f>+'S&amp;D'!A29</f>
        <v>United Airlines Holdings Inc</v>
      </c>
      <c r="B23" s="85" t="str">
        <f>+'S&amp;D'!B29</f>
        <v>UAL</v>
      </c>
      <c r="C23" s="85" t="str">
        <f>+'S&amp;D'!C29</f>
        <v>AirTrans</v>
      </c>
      <c r="D23" s="55">
        <f>+'S&amp;D'!G29</f>
        <v>111.82</v>
      </c>
      <c r="E23" s="500" t="s">
        <v>485</v>
      </c>
      <c r="F23" s="501" t="s">
        <v>460</v>
      </c>
      <c r="G23" s="500" t="s">
        <v>485</v>
      </c>
      <c r="H23" s="501" t="s">
        <v>460</v>
      </c>
      <c r="I23" s="500" t="s">
        <v>485</v>
      </c>
      <c r="J23" s="61" t="s">
        <v>460</v>
      </c>
      <c r="K23" s="190" t="s">
        <v>460</v>
      </c>
    </row>
    <row r="24" spans="1:11" ht="17.25" thickBot="1">
      <c r="A24" s="10"/>
      <c r="B24" s="10"/>
      <c r="C24" s="40"/>
      <c r="D24" s="43"/>
      <c r="E24" s="43"/>
      <c r="F24" s="43"/>
      <c r="G24" s="43"/>
      <c r="H24" s="43"/>
      <c r="I24" s="43"/>
      <c r="J24" s="43"/>
      <c r="K24" s="43"/>
    </row>
    <row r="25" spans="1:11" ht="17.25" thickTop="1">
      <c r="A25" s="10"/>
      <c r="B25" s="10"/>
      <c r="D25" s="12" t="s">
        <v>45</v>
      </c>
      <c r="E25" s="14">
        <f t="shared" ref="E25:K25" si="2">MAX(E16:E23)</f>
        <v>0.75</v>
      </c>
      <c r="F25" s="310">
        <f t="shared" si="2"/>
        <v>1.7420759738688604E-2</v>
      </c>
      <c r="G25" s="14">
        <f t="shared" si="2"/>
        <v>0.85</v>
      </c>
      <c r="H25" s="310">
        <f t="shared" si="2"/>
        <v>1.8388579724171305E-2</v>
      </c>
      <c r="I25" s="14">
        <f t="shared" si="2"/>
        <v>1.3</v>
      </c>
      <c r="J25" s="310">
        <f t="shared" si="2"/>
        <v>3.1454149528187758E-2</v>
      </c>
      <c r="K25" s="310">
        <f t="shared" si="2"/>
        <v>0.81712059283213934</v>
      </c>
    </row>
    <row r="26" spans="1:11" ht="16.5">
      <c r="A26" s="10"/>
      <c r="B26" s="10"/>
      <c r="D26" s="12" t="s">
        <v>46</v>
      </c>
      <c r="E26" s="274">
        <f t="shared" ref="E26:K26" si="3">MIN(E16:E23)</f>
        <v>0.72</v>
      </c>
      <c r="F26" s="309">
        <f t="shared" si="3"/>
        <v>1.0806916426512967E-2</v>
      </c>
      <c r="G26" s="274">
        <f t="shared" si="3"/>
        <v>0.1</v>
      </c>
      <c r="H26" s="309">
        <f t="shared" si="3"/>
        <v>1.1727453969743169E-3</v>
      </c>
      <c r="I26" s="274">
        <f t="shared" si="3"/>
        <v>0.32</v>
      </c>
      <c r="J26" s="309">
        <f t="shared" si="3"/>
        <v>3.1869335723533516E-3</v>
      </c>
      <c r="K26" s="309">
        <f t="shared" si="3"/>
        <v>5.5667191978000803E-2</v>
      </c>
    </row>
    <row r="27" spans="1:11" ht="16.5">
      <c r="A27" s="10"/>
      <c r="B27" s="10"/>
      <c r="D27" s="12" t="s">
        <v>18</v>
      </c>
      <c r="E27" s="15">
        <f t="shared" ref="E27:K27" si="4">MEDIAN(E16:E23)</f>
        <v>0.73499999999999999</v>
      </c>
      <c r="F27" s="50">
        <f t="shared" si="4"/>
        <v>1.4113838082600786E-2</v>
      </c>
      <c r="G27" s="15">
        <f t="shared" si="4"/>
        <v>0.76</v>
      </c>
      <c r="H27" s="50">
        <f t="shared" si="4"/>
        <v>1.2247838616714695E-2</v>
      </c>
      <c r="I27" s="15">
        <f t="shared" si="4"/>
        <v>0.6</v>
      </c>
      <c r="J27" s="50">
        <f t="shared" si="4"/>
        <v>1.1928429423459244E-2</v>
      </c>
      <c r="K27" s="50">
        <f t="shared" si="4"/>
        <v>0.19594145467508342</v>
      </c>
    </row>
    <row r="28" spans="1:11" ht="16.5">
      <c r="A28" s="10"/>
      <c r="B28" s="10"/>
      <c r="D28" s="12" t="s">
        <v>387</v>
      </c>
      <c r="E28" s="19">
        <f t="shared" ref="E28:K28" si="5">AVERAGE(E16:E23)</f>
        <v>0.73499999999999999</v>
      </c>
      <c r="F28" s="52">
        <f t="shared" si="5"/>
        <v>1.4113838082600786E-2</v>
      </c>
      <c r="G28" s="19">
        <f t="shared" si="5"/>
        <v>0.56999999999999995</v>
      </c>
      <c r="H28" s="52">
        <f t="shared" si="5"/>
        <v>1.0603054579286772E-2</v>
      </c>
      <c r="I28" s="19">
        <f t="shared" si="5"/>
        <v>0.76400000000000001</v>
      </c>
      <c r="J28" s="52">
        <f t="shared" si="5"/>
        <v>1.3603041361572709E-2</v>
      </c>
      <c r="K28" s="52">
        <f t="shared" si="5"/>
        <v>0.35624307982840792</v>
      </c>
    </row>
    <row r="29" spans="1:11" ht="16.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26.25">
      <c r="A30" s="10"/>
      <c r="B30" s="10"/>
      <c r="C30" s="10"/>
      <c r="D30" s="10"/>
      <c r="E30" s="10"/>
      <c r="F30" s="45" t="s">
        <v>0</v>
      </c>
      <c r="G30" s="59" t="s">
        <v>0</v>
      </c>
      <c r="H30" s="10"/>
      <c r="I30" s="10"/>
      <c r="J30" s="10"/>
      <c r="K30" s="10"/>
    </row>
    <row r="31" spans="1:11" ht="18.75">
      <c r="A31" s="192" t="s">
        <v>250</v>
      </c>
    </row>
  </sheetData>
  <pageMargins left="0.25" right="0.25" top="0.75" bottom="0.75" header="0.3" footer="0.3"/>
  <pageSetup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L30"/>
  <sheetViews>
    <sheetView view="pageBreakPreview" zoomScale="60" zoomScaleNormal="80" workbookViewId="0">
      <selection activeCell="G20" activeCellId="2" sqref="F6 E20 G20"/>
    </sheetView>
  </sheetViews>
  <sheetFormatPr defaultRowHeight="15"/>
  <cols>
    <col min="1" max="1" width="51.5703125" customWidth="1"/>
    <col min="2" max="2" width="10.85546875" bestFit="1" customWidth="1"/>
    <col min="3" max="3" width="19.140625" bestFit="1" customWidth="1"/>
    <col min="4" max="4" width="15.425781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5703125" customWidth="1"/>
    <col min="12" max="12" width="23.5703125" customWidth="1"/>
  </cols>
  <sheetData>
    <row r="1" spans="1:11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</row>
    <row r="3" spans="1:11" ht="16.5">
      <c r="A3" s="23" t="s">
        <v>465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ht="16.5">
      <c r="A4" s="23"/>
      <c r="B4" s="10"/>
      <c r="C4" s="10"/>
      <c r="D4" s="10"/>
      <c r="E4" s="10"/>
      <c r="F4" s="10"/>
      <c r="G4" s="10"/>
      <c r="H4" s="10"/>
      <c r="I4" s="10"/>
      <c r="J4" s="10"/>
    </row>
    <row r="5" spans="1:11" ht="17.25" thickBot="1">
      <c r="A5" s="10"/>
      <c r="B5" s="10"/>
      <c r="C5" s="10"/>
      <c r="D5" s="10"/>
      <c r="E5" s="10"/>
      <c r="F5" s="10"/>
      <c r="G5" s="24"/>
      <c r="H5" s="10"/>
      <c r="I5" s="10"/>
      <c r="J5" s="10"/>
    </row>
    <row r="6" spans="1:11" ht="21" thickBot="1">
      <c r="A6" s="226" t="str">
        <f>+'S&amp;D'!A12</f>
        <v>Air Passenger Carriers</v>
      </c>
      <c r="B6" s="167"/>
      <c r="C6" s="10"/>
      <c r="D6" s="26"/>
      <c r="E6" s="26"/>
      <c r="F6" s="497" t="s">
        <v>0</v>
      </c>
      <c r="G6" s="10"/>
      <c r="H6" s="10"/>
      <c r="I6" s="10"/>
      <c r="J6" s="10"/>
    </row>
    <row r="7" spans="1:11" ht="26.25">
      <c r="A7" s="27"/>
      <c r="B7" s="10"/>
      <c r="C7" s="10"/>
      <c r="D7" s="10"/>
      <c r="E7" s="28" t="s">
        <v>251</v>
      </c>
      <c r="F7" s="10"/>
      <c r="G7" s="10"/>
      <c r="H7" s="10"/>
      <c r="I7" s="10"/>
      <c r="J7" s="10"/>
    </row>
    <row r="8" spans="1:11" ht="21" thickBot="1">
      <c r="A8" s="27"/>
      <c r="B8" s="10"/>
      <c r="C8" s="10"/>
      <c r="D8" s="26"/>
      <c r="E8" s="29" t="s">
        <v>478</v>
      </c>
      <c r="F8" s="26"/>
      <c r="G8" s="10"/>
      <c r="H8" s="10"/>
      <c r="I8" s="10"/>
      <c r="J8" s="10"/>
    </row>
    <row r="9" spans="1:11" ht="17.25" thickBot="1">
      <c r="A9" s="30" t="s">
        <v>0</v>
      </c>
      <c r="B9" s="30" t="s">
        <v>0</v>
      </c>
      <c r="C9" s="30" t="s">
        <v>0</v>
      </c>
      <c r="D9" s="30" t="s">
        <v>0</v>
      </c>
      <c r="E9" s="30" t="s">
        <v>0</v>
      </c>
      <c r="F9" s="30"/>
      <c r="G9" s="26"/>
      <c r="H9" s="26"/>
      <c r="I9" s="26"/>
      <c r="J9" s="26"/>
      <c r="K9" s="137"/>
    </row>
    <row r="10" spans="1:11" ht="16.5">
      <c r="A10" s="31" t="s">
        <v>0</v>
      </c>
      <c r="B10" s="31" t="s">
        <v>3</v>
      </c>
      <c r="C10" s="31" t="s">
        <v>5</v>
      </c>
      <c r="D10" s="31" t="s">
        <v>156</v>
      </c>
      <c r="E10" s="31" t="s">
        <v>162</v>
      </c>
      <c r="F10" s="31" t="s">
        <v>162</v>
      </c>
      <c r="G10" s="31" t="s">
        <v>162</v>
      </c>
      <c r="H10" s="31" t="s">
        <v>162</v>
      </c>
      <c r="I10" s="31" t="s">
        <v>162</v>
      </c>
      <c r="J10" s="31" t="s">
        <v>162</v>
      </c>
      <c r="K10" s="31" t="s">
        <v>248</v>
      </c>
    </row>
    <row r="11" spans="1:11" ht="16.5">
      <c r="A11" s="31"/>
      <c r="B11" s="31" t="s">
        <v>4</v>
      </c>
      <c r="C11" s="31" t="s">
        <v>6</v>
      </c>
      <c r="D11" s="31" t="s">
        <v>27</v>
      </c>
      <c r="E11" s="31" t="s">
        <v>158</v>
      </c>
      <c r="F11" s="31" t="s">
        <v>116</v>
      </c>
      <c r="G11" s="31" t="s">
        <v>158</v>
      </c>
      <c r="H11" s="31" t="s">
        <v>116</v>
      </c>
      <c r="I11" s="31" t="s">
        <v>158</v>
      </c>
      <c r="J11" s="31" t="s">
        <v>116</v>
      </c>
      <c r="K11" s="31" t="s">
        <v>173</v>
      </c>
    </row>
    <row r="12" spans="1:11" ht="17.25" thickBot="1">
      <c r="A12" s="33" t="s">
        <v>2</v>
      </c>
      <c r="B12" s="33" t="s">
        <v>0</v>
      </c>
      <c r="C12" s="33" t="s">
        <v>0</v>
      </c>
      <c r="D12" s="33" t="s">
        <v>0</v>
      </c>
      <c r="E12" s="33" t="s">
        <v>160</v>
      </c>
      <c r="F12" s="33" t="s">
        <v>160</v>
      </c>
      <c r="G12" s="33" t="s">
        <v>246</v>
      </c>
      <c r="H12" s="33" t="s">
        <v>246</v>
      </c>
      <c r="I12" s="33" t="s">
        <v>247</v>
      </c>
      <c r="J12" s="33" t="s">
        <v>247</v>
      </c>
      <c r="K12" s="191" t="s">
        <v>249</v>
      </c>
    </row>
    <row r="13" spans="1:11">
      <c r="A13" s="35" t="s">
        <v>7</v>
      </c>
      <c r="B13" s="35" t="s">
        <v>7</v>
      </c>
      <c r="C13" s="35" t="s">
        <v>7</v>
      </c>
      <c r="D13" s="36" t="s">
        <v>112</v>
      </c>
      <c r="E13" s="35" t="s">
        <v>7</v>
      </c>
      <c r="F13" s="35" t="s">
        <v>15</v>
      </c>
      <c r="G13" s="35" t="s">
        <v>7</v>
      </c>
      <c r="H13" s="35" t="s">
        <v>15</v>
      </c>
      <c r="I13" s="35" t="s">
        <v>7</v>
      </c>
      <c r="J13" s="35" t="s">
        <v>15</v>
      </c>
      <c r="K13" s="35" t="s">
        <v>15</v>
      </c>
    </row>
    <row r="14" spans="1:11" ht="16.5">
      <c r="A14" s="31"/>
      <c r="B14" s="31"/>
      <c r="C14" s="31"/>
      <c r="D14" s="31"/>
      <c r="E14" s="31"/>
      <c r="F14" s="31"/>
      <c r="G14" s="10"/>
      <c r="H14" s="10"/>
      <c r="I14" s="10"/>
      <c r="J14" s="10"/>
      <c r="K14" s="10"/>
    </row>
    <row r="15" spans="1:11" ht="16.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7.25">
      <c r="A16" s="40" t="str">
        <f>+'S&amp;D'!A22</f>
        <v xml:space="preserve">Alaska Air </v>
      </c>
      <c r="B16" s="31" t="str">
        <f>+'S&amp;D'!B22</f>
        <v>ALK</v>
      </c>
      <c r="C16" s="31" t="str">
        <f>+'S&amp;D'!C22</f>
        <v>AirTrans</v>
      </c>
      <c r="D16" s="55">
        <f>+'S&amp;D'!G22</f>
        <v>50.3</v>
      </c>
      <c r="E16" s="57">
        <v>5.5</v>
      </c>
      <c r="F16" s="61">
        <f>+E16/D16</f>
        <v>0.10934393638170975</v>
      </c>
      <c r="G16" s="57">
        <v>8.5</v>
      </c>
      <c r="H16" s="61">
        <f>+G16/D16</f>
        <v>0.16898608349900598</v>
      </c>
      <c r="I16" s="57">
        <v>14</v>
      </c>
      <c r="J16" s="61">
        <f>+I16/D16</f>
        <v>0.27833001988071571</v>
      </c>
      <c r="K16" s="190">
        <f>RATE(3,,-G16,I16)</f>
        <v>0.18096321418390676</v>
      </c>
    </row>
    <row r="17" spans="1:12" ht="17.25">
      <c r="A17" s="40" t="str">
        <f>+'S&amp;D'!A23</f>
        <v xml:space="preserve">Allegiant Travel Co. </v>
      </c>
      <c r="B17" s="31" t="str">
        <f>+'S&amp;D'!B23</f>
        <v>ALGT</v>
      </c>
      <c r="C17" s="31" t="str">
        <f>+'S&amp;D'!C23</f>
        <v>AirTrans</v>
      </c>
      <c r="D17" s="55">
        <f>+'S&amp;D'!G23</f>
        <v>85.27</v>
      </c>
      <c r="E17" s="57">
        <v>7</v>
      </c>
      <c r="F17" s="61">
        <f>+E17/D17</f>
        <v>8.2092177788202186E-2</v>
      </c>
      <c r="G17" s="57">
        <v>9.65</v>
      </c>
      <c r="H17" s="61">
        <f>+G17/D17</f>
        <v>0.11316993080802158</v>
      </c>
      <c r="I17" s="57">
        <v>20.75</v>
      </c>
      <c r="J17" s="61">
        <f>+I17/D17</f>
        <v>0.24334466987217077</v>
      </c>
      <c r="K17" s="190">
        <f>RATE(3,,-G17,I17)</f>
        <v>0.29071471868841375</v>
      </c>
    </row>
    <row r="18" spans="1:12" ht="17.25">
      <c r="A18" s="40" t="str">
        <f>+'S&amp;D'!A24</f>
        <v xml:space="preserve">American Airlines </v>
      </c>
      <c r="B18" s="31" t="str">
        <f>+'S&amp;D'!B24</f>
        <v>AAL</v>
      </c>
      <c r="C18" s="31" t="str">
        <f>+'S&amp;D'!C24</f>
        <v>AirTrans</v>
      </c>
      <c r="D18" s="55">
        <f>+'S&amp;D'!G24</f>
        <v>15.33</v>
      </c>
      <c r="E18" s="57">
        <v>2.4</v>
      </c>
      <c r="F18" s="61">
        <f>+E18/D18</f>
        <v>0.15655577299412915</v>
      </c>
      <c r="G18" s="57">
        <v>2.9</v>
      </c>
      <c r="H18" s="61">
        <f>+G18/D18</f>
        <v>0.18917155903457272</v>
      </c>
      <c r="I18" s="57">
        <v>3.8</v>
      </c>
      <c r="J18" s="61">
        <f>+I18/D18</f>
        <v>0.24787997390737115</v>
      </c>
      <c r="K18" s="190">
        <f>RATE(3,,-G18,I18)</f>
        <v>9.4280179274302059E-2</v>
      </c>
    </row>
    <row r="19" spans="1:12" ht="17.25">
      <c r="A19" s="40" t="str">
        <f>+'S&amp;D'!A25</f>
        <v xml:space="preserve">Delta Air Lines </v>
      </c>
      <c r="B19" s="31" t="str">
        <f>+'S&amp;D'!B25</f>
        <v>DAL</v>
      </c>
      <c r="C19" s="31" t="str">
        <f>+'S&amp;D'!C25</f>
        <v>AirTrans</v>
      </c>
      <c r="D19" s="55">
        <f>+'S&amp;D'!G25</f>
        <v>69.400000000000006</v>
      </c>
      <c r="E19" s="57">
        <v>7.3</v>
      </c>
      <c r="F19" s="61">
        <f t="shared" ref="F19:F23" si="0">+E19/D19</f>
        <v>0.10518731988472621</v>
      </c>
      <c r="G19" s="57">
        <v>8.4</v>
      </c>
      <c r="H19" s="61">
        <f t="shared" ref="H19:H23" si="1">+G19/D19</f>
        <v>0.12103746397694524</v>
      </c>
      <c r="I19" s="57">
        <v>9.5</v>
      </c>
      <c r="J19" s="61">
        <f t="shared" ref="J19:J23" si="2">+I19/D19</f>
        <v>0.13688760806916425</v>
      </c>
      <c r="K19" s="190">
        <f t="shared" ref="K19:K23" si="3">RATE(3,,-G19,I19)</f>
        <v>4.1872975009711245E-2</v>
      </c>
    </row>
    <row r="20" spans="1:12" ht="17.25">
      <c r="A20" s="40" t="str">
        <f>+'S&amp;D'!A26</f>
        <v xml:space="preserve">JetBlue Airways </v>
      </c>
      <c r="B20" s="31" t="str">
        <f>+'S&amp;D'!B26</f>
        <v>JBLU</v>
      </c>
      <c r="C20" s="31" t="str">
        <f>+'S&amp;D'!C26</f>
        <v>AirTrans</v>
      </c>
      <c r="D20" s="55">
        <f>+'S&amp;D'!G26</f>
        <v>4.55</v>
      </c>
      <c r="E20" s="500">
        <v>0.3</v>
      </c>
      <c r="F20" s="61">
        <f t="shared" si="0"/>
        <v>6.5934065934065936E-2</v>
      </c>
      <c r="G20" s="500">
        <v>0.1</v>
      </c>
      <c r="H20" s="61">
        <f t="shared" si="1"/>
        <v>2.197802197802198E-2</v>
      </c>
      <c r="I20" s="57">
        <v>1.5</v>
      </c>
      <c r="J20" s="61">
        <f t="shared" si="2"/>
        <v>0.32967032967032966</v>
      </c>
      <c r="K20" s="190">
        <f t="shared" si="3"/>
        <v>1.4662120743304705</v>
      </c>
      <c r="L20" t="s">
        <v>0</v>
      </c>
    </row>
    <row r="21" spans="1:12" ht="17.25">
      <c r="A21" s="40" t="str">
        <f>+'S&amp;D'!A27</f>
        <v>Skywest Inc</v>
      </c>
      <c r="B21" s="31" t="str">
        <f>+'S&amp;D'!B27</f>
        <v>SKYW</v>
      </c>
      <c r="C21" s="31" t="str">
        <f>+'S&amp;D'!C27</f>
        <v>AirTrans</v>
      </c>
      <c r="D21" s="55">
        <f>+'S&amp;D'!G27</f>
        <v>100.41</v>
      </c>
      <c r="E21" s="57">
        <v>11</v>
      </c>
      <c r="F21" s="61">
        <f t="shared" si="0"/>
        <v>0.10955084154964645</v>
      </c>
      <c r="G21" s="57">
        <v>12</v>
      </c>
      <c r="H21" s="61">
        <f t="shared" si="1"/>
        <v>0.11951000896325067</v>
      </c>
      <c r="I21" s="57">
        <v>15</v>
      </c>
      <c r="J21" s="61">
        <f t="shared" si="2"/>
        <v>0.14938751120406335</v>
      </c>
      <c r="K21" s="190">
        <f t="shared" si="3"/>
        <v>7.7217345015989494E-2</v>
      </c>
    </row>
    <row r="22" spans="1:12" ht="17.25">
      <c r="A22" s="40" t="str">
        <f>+'S&amp;D'!A28</f>
        <v xml:space="preserve">Southwest Airlines </v>
      </c>
      <c r="B22" s="31" t="str">
        <f>+'S&amp;D'!B28</f>
        <v>LUV</v>
      </c>
      <c r="C22" s="31" t="str">
        <f>+'S&amp;D'!C28</f>
        <v>AirTrans</v>
      </c>
      <c r="D22" s="55">
        <f>+'S&amp;D'!G28</f>
        <v>41.33</v>
      </c>
      <c r="E22" s="57">
        <v>4.0999999999999996</v>
      </c>
      <c r="F22" s="61">
        <f t="shared" si="0"/>
        <v>9.9201548511976767E-2</v>
      </c>
      <c r="G22" s="57">
        <v>4.6500000000000004</v>
      </c>
      <c r="H22" s="61">
        <f t="shared" si="1"/>
        <v>0.11250907331236391</v>
      </c>
      <c r="I22" s="57">
        <v>3.75</v>
      </c>
      <c r="J22" s="61">
        <f t="shared" si="2"/>
        <v>9.0733123639003155E-2</v>
      </c>
      <c r="K22" s="190">
        <f t="shared" si="3"/>
        <v>-6.9193433789393924E-2</v>
      </c>
    </row>
    <row r="23" spans="1:12" ht="18" thickBot="1">
      <c r="A23" s="40" t="str">
        <f>+'S&amp;D'!A29</f>
        <v>United Airlines Holdings Inc</v>
      </c>
      <c r="B23" s="31" t="str">
        <f>+'S&amp;D'!B29</f>
        <v>UAL</v>
      </c>
      <c r="C23" s="31" t="str">
        <f>+'S&amp;D'!C29</f>
        <v>AirTrans</v>
      </c>
      <c r="D23" s="55">
        <f>+'S&amp;D'!G29</f>
        <v>111.82</v>
      </c>
      <c r="E23" s="304">
        <v>13.35</v>
      </c>
      <c r="F23" s="284">
        <f t="shared" si="0"/>
        <v>0.11938830262922555</v>
      </c>
      <c r="G23" s="304">
        <v>15.5</v>
      </c>
      <c r="H23" s="284">
        <f t="shared" si="1"/>
        <v>0.13861563226614201</v>
      </c>
      <c r="I23" s="304">
        <v>16</v>
      </c>
      <c r="J23" s="284">
        <f t="shared" si="2"/>
        <v>0.14308710427472726</v>
      </c>
      <c r="K23" s="292">
        <f t="shared" si="3"/>
        <v>1.0639096385723438E-2</v>
      </c>
    </row>
    <row r="24" spans="1:12" ht="17.25" thickTop="1">
      <c r="A24" s="10"/>
      <c r="B24" s="10"/>
      <c r="D24" s="12" t="s">
        <v>45</v>
      </c>
      <c r="E24" s="14">
        <f t="shared" ref="E24:K24" si="4">MAX(E16:E23)</f>
        <v>13.35</v>
      </c>
      <c r="F24" s="310">
        <f t="shared" si="4"/>
        <v>0.15655577299412915</v>
      </c>
      <c r="G24" s="14">
        <f t="shared" si="4"/>
        <v>15.5</v>
      </c>
      <c r="H24" s="310">
        <f t="shared" si="4"/>
        <v>0.18917155903457272</v>
      </c>
      <c r="I24" s="14">
        <f t="shared" si="4"/>
        <v>20.75</v>
      </c>
      <c r="J24" s="310">
        <f t="shared" si="4"/>
        <v>0.32967032967032966</v>
      </c>
      <c r="K24" s="310">
        <f t="shared" si="4"/>
        <v>1.4662120743304705</v>
      </c>
    </row>
    <row r="25" spans="1:12" ht="16.5">
      <c r="A25" s="10"/>
      <c r="B25" s="10"/>
      <c r="D25" s="275" t="s">
        <v>46</v>
      </c>
      <c r="E25" s="274">
        <f t="shared" ref="E25:K25" si="5">MIN(E16:E23)</f>
        <v>0.3</v>
      </c>
      <c r="F25" s="309">
        <f t="shared" si="5"/>
        <v>6.5934065934065936E-2</v>
      </c>
      <c r="G25" s="274">
        <f t="shared" si="5"/>
        <v>0.1</v>
      </c>
      <c r="H25" s="309">
        <f t="shared" si="5"/>
        <v>2.197802197802198E-2</v>
      </c>
      <c r="I25" s="274">
        <f t="shared" si="5"/>
        <v>1.5</v>
      </c>
      <c r="J25" s="309">
        <f t="shared" si="5"/>
        <v>9.0733123639003155E-2</v>
      </c>
      <c r="K25" s="309">
        <f t="shared" si="5"/>
        <v>-6.9193433789393924E-2</v>
      </c>
    </row>
    <row r="26" spans="1:12" ht="16.5">
      <c r="A26" s="10"/>
      <c r="B26" s="10"/>
      <c r="D26" s="12" t="s">
        <v>18</v>
      </c>
      <c r="E26" s="15">
        <f t="shared" ref="E26:K26" si="6">MEDIAN(E16:E23)</f>
        <v>6.25</v>
      </c>
      <c r="F26" s="50">
        <f t="shared" si="6"/>
        <v>0.10726562813321798</v>
      </c>
      <c r="G26" s="15">
        <f t="shared" si="6"/>
        <v>8.4499999999999993</v>
      </c>
      <c r="H26" s="50">
        <f t="shared" si="6"/>
        <v>0.12027373647009795</v>
      </c>
      <c r="I26" s="15">
        <f t="shared" si="6"/>
        <v>11.75</v>
      </c>
      <c r="J26" s="50">
        <f t="shared" si="6"/>
        <v>0.19636609053811704</v>
      </c>
      <c r="K26" s="50">
        <f t="shared" si="6"/>
        <v>8.5748762145145777E-2</v>
      </c>
    </row>
    <row r="27" spans="1:12" ht="16.5">
      <c r="A27" s="10"/>
      <c r="B27" s="10"/>
      <c r="D27" s="12" t="s">
        <v>387</v>
      </c>
      <c r="E27" s="19">
        <f t="shared" ref="E27:K27" si="7">AVERAGE(E16:E23)</f>
        <v>6.3687500000000004</v>
      </c>
      <c r="F27" s="52">
        <f t="shared" si="7"/>
        <v>0.10590674570921024</v>
      </c>
      <c r="G27" s="19">
        <f t="shared" si="7"/>
        <v>7.7124999999999995</v>
      </c>
      <c r="H27" s="52">
        <f t="shared" si="7"/>
        <v>0.12312222172979052</v>
      </c>
      <c r="I27" s="19">
        <f t="shared" si="7"/>
        <v>10.5375</v>
      </c>
      <c r="J27" s="52">
        <f t="shared" si="7"/>
        <v>0.20241504256469314</v>
      </c>
      <c r="K27" s="52">
        <f t="shared" si="7"/>
        <v>0.26158827113739042</v>
      </c>
    </row>
    <row r="28" spans="1:12" ht="16.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2" ht="26.25">
      <c r="A29" s="10"/>
      <c r="B29" s="10"/>
      <c r="C29" s="10"/>
      <c r="D29" s="10"/>
      <c r="E29" s="10"/>
      <c r="F29" s="45" t="s">
        <v>0</v>
      </c>
      <c r="G29" s="59" t="s">
        <v>0</v>
      </c>
      <c r="H29" s="10"/>
      <c r="I29" s="10"/>
      <c r="J29" s="10"/>
      <c r="K29" s="10"/>
    </row>
    <row r="30" spans="1:12" ht="18.75">
      <c r="A30" s="192" t="s">
        <v>250</v>
      </c>
    </row>
  </sheetData>
  <pageMargins left="0.25" right="0.25" top="0.75" bottom="0.75" header="0.3" footer="0.3"/>
  <pageSetup scale="59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59"/>
  <sheetViews>
    <sheetView view="pageBreakPreview" zoomScale="80" zoomScaleNormal="80" zoomScaleSheetLayoutView="80" workbookViewId="0">
      <selection activeCell="D19" activeCellId="2" sqref="F6 D17 D19"/>
    </sheetView>
  </sheetViews>
  <sheetFormatPr defaultRowHeight="15"/>
  <cols>
    <col min="1" max="1" width="36.140625" customWidth="1"/>
    <col min="2" max="2" width="13.42578125" customWidth="1"/>
    <col min="3" max="3" width="19.140625" bestFit="1" customWidth="1"/>
    <col min="4" max="4" width="20.85546875" customWidth="1"/>
    <col min="5" max="5" width="21.85546875" customWidth="1"/>
    <col min="6" max="6" width="16.140625" customWidth="1"/>
    <col min="7" max="7" width="12.140625" customWidth="1"/>
    <col min="8" max="8" width="18.5703125" customWidth="1"/>
    <col min="9" max="9" width="19.42578125" customWidth="1"/>
    <col min="10" max="11" width="20.5703125" customWidth="1"/>
    <col min="12" max="12" width="26.5703125" customWidth="1"/>
    <col min="13" max="13" width="6.5703125" customWidth="1"/>
  </cols>
  <sheetData>
    <row r="1" spans="1:13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6.5">
      <c r="A3" s="23" t="s">
        <v>465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6.5">
      <c r="A4" s="2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7.25" thickBot="1">
      <c r="A5" s="10"/>
      <c r="B5" s="10"/>
      <c r="C5" s="10"/>
      <c r="D5" s="10"/>
      <c r="E5" s="10"/>
      <c r="F5" s="10"/>
      <c r="G5" s="24"/>
      <c r="H5" s="24"/>
      <c r="I5" s="10"/>
      <c r="J5" s="10"/>
      <c r="K5" s="10"/>
      <c r="L5" s="10"/>
      <c r="M5" s="10"/>
    </row>
    <row r="6" spans="1:13" ht="21" thickBot="1">
      <c r="A6" s="226" t="str">
        <f>+'S&amp;D'!A12</f>
        <v>Air Passenger Carriers</v>
      </c>
      <c r="B6" s="167"/>
      <c r="C6" s="10"/>
      <c r="D6" s="26"/>
      <c r="E6" s="26"/>
      <c r="F6" s="497" t="s">
        <v>0</v>
      </c>
      <c r="G6" s="10"/>
      <c r="H6" s="10"/>
      <c r="I6" s="10"/>
      <c r="J6" s="10"/>
      <c r="K6" s="10"/>
      <c r="L6" s="10"/>
      <c r="M6" s="10"/>
    </row>
    <row r="7" spans="1:13" ht="26.25">
      <c r="A7" s="27"/>
      <c r="B7" s="10"/>
      <c r="C7" s="10"/>
      <c r="D7" s="10"/>
      <c r="E7" s="28" t="s">
        <v>463</v>
      </c>
      <c r="F7" s="10"/>
      <c r="G7" s="10"/>
      <c r="H7" s="10"/>
      <c r="I7" s="10"/>
      <c r="J7" s="10"/>
      <c r="K7" s="10"/>
      <c r="L7" s="10"/>
      <c r="M7" s="10"/>
    </row>
    <row r="8" spans="1:13" ht="21" thickBot="1">
      <c r="A8" s="27"/>
      <c r="B8" s="10"/>
      <c r="C8" s="10"/>
      <c r="D8" s="26"/>
      <c r="E8" s="29" t="s">
        <v>478</v>
      </c>
      <c r="F8" s="26"/>
      <c r="G8" s="10"/>
      <c r="H8" s="10"/>
      <c r="I8" s="10"/>
      <c r="J8" s="10"/>
      <c r="K8" s="10"/>
      <c r="L8" s="10"/>
      <c r="M8" s="10"/>
    </row>
    <row r="9" spans="1:13" ht="17.25" thickBot="1">
      <c r="A9" s="30" t="s">
        <v>0</v>
      </c>
      <c r="B9" s="30" t="s">
        <v>0</v>
      </c>
      <c r="C9" s="30" t="s">
        <v>0</v>
      </c>
      <c r="D9" s="30" t="s">
        <v>0</v>
      </c>
      <c r="E9" s="30" t="s">
        <v>0</v>
      </c>
      <c r="F9" s="30" t="s">
        <v>0</v>
      </c>
      <c r="G9" s="30"/>
      <c r="H9" s="30"/>
      <c r="I9" s="30" t="s">
        <v>0</v>
      </c>
      <c r="J9" s="26"/>
      <c r="L9" s="10"/>
      <c r="M9" s="10"/>
    </row>
    <row r="10" spans="1:13" ht="16.5">
      <c r="A10" s="31" t="s">
        <v>0</v>
      </c>
      <c r="B10" s="31" t="s">
        <v>3</v>
      </c>
      <c r="C10" s="31" t="s">
        <v>5</v>
      </c>
      <c r="D10" s="31" t="s">
        <v>21</v>
      </c>
      <c r="E10" s="31" t="s">
        <v>20</v>
      </c>
      <c r="F10" s="31" t="s">
        <v>50</v>
      </c>
      <c r="G10" s="31" t="s">
        <v>124</v>
      </c>
      <c r="H10" s="31" t="s">
        <v>461</v>
      </c>
      <c r="I10" s="31" t="s">
        <v>124</v>
      </c>
      <c r="J10" s="31" t="s">
        <v>47</v>
      </c>
      <c r="L10" s="10"/>
      <c r="M10" s="10"/>
    </row>
    <row r="11" spans="1:13" ht="17.25" thickBot="1">
      <c r="A11" s="33" t="s">
        <v>2</v>
      </c>
      <c r="B11" s="33" t="s">
        <v>4</v>
      </c>
      <c r="C11" s="33" t="s">
        <v>6</v>
      </c>
      <c r="D11" s="33" t="s">
        <v>23</v>
      </c>
      <c r="E11" s="33" t="s">
        <v>22</v>
      </c>
      <c r="F11" s="33" t="s">
        <v>48</v>
      </c>
      <c r="G11" s="33" t="s">
        <v>48</v>
      </c>
      <c r="H11" s="33" t="s">
        <v>48</v>
      </c>
      <c r="I11" s="33" t="s">
        <v>48</v>
      </c>
      <c r="J11" s="33" t="s">
        <v>49</v>
      </c>
      <c r="L11" s="10"/>
      <c r="M11" s="10"/>
    </row>
    <row r="12" spans="1:13" ht="16.5">
      <c r="A12" s="35" t="s">
        <v>7</v>
      </c>
      <c r="B12" s="35" t="s">
        <v>7</v>
      </c>
      <c r="C12" s="35" t="s">
        <v>7</v>
      </c>
      <c r="D12" s="35" t="s">
        <v>7</v>
      </c>
      <c r="E12" s="35" t="s">
        <v>7</v>
      </c>
      <c r="F12" s="35" t="s">
        <v>0</v>
      </c>
      <c r="G12" s="35" t="s">
        <v>0</v>
      </c>
      <c r="H12" s="35" t="s">
        <v>0</v>
      </c>
      <c r="I12" s="35" t="s">
        <v>0</v>
      </c>
      <c r="J12" s="35" t="s">
        <v>0</v>
      </c>
      <c r="L12" s="10"/>
      <c r="M12" s="10"/>
    </row>
    <row r="13" spans="1:13" ht="16.5">
      <c r="A13" s="31"/>
      <c r="B13" s="31"/>
      <c r="C13" s="31"/>
      <c r="D13" s="31"/>
      <c r="E13" s="31"/>
      <c r="F13" s="31"/>
      <c r="G13" s="31"/>
      <c r="H13" s="31"/>
      <c r="I13" s="31"/>
      <c r="J13" s="31"/>
      <c r="L13" s="10"/>
      <c r="M13" s="10"/>
    </row>
    <row r="14" spans="1:13" ht="16.5">
      <c r="A14" s="10"/>
      <c r="B14" s="10"/>
      <c r="C14" s="10"/>
      <c r="D14" s="10"/>
      <c r="E14" s="10"/>
      <c r="F14" s="10"/>
      <c r="G14" s="10"/>
      <c r="H14" s="10"/>
      <c r="I14" s="10"/>
      <c r="J14" s="10"/>
      <c r="L14" s="10"/>
      <c r="M14" s="10"/>
    </row>
    <row r="15" spans="1:13" ht="17.25">
      <c r="A15" s="58" t="str">
        <f>+'S&amp;D'!A22</f>
        <v xml:space="preserve">Alaska Air </v>
      </c>
      <c r="B15" s="85" t="str">
        <f>+'S&amp;D'!B22</f>
        <v>ALK</v>
      </c>
      <c r="C15" s="31" t="str">
        <f>+'S&amp;D'!C22</f>
        <v>AirTrans</v>
      </c>
      <c r="D15" s="49">
        <f>+'Beta for CAPM'!D18</f>
        <v>0.27</v>
      </c>
      <c r="E15" s="31" t="str">
        <f>'Beta for CAPM'!G18</f>
        <v>B+</v>
      </c>
      <c r="F15" s="31" t="s">
        <v>300</v>
      </c>
      <c r="G15" s="249">
        <v>14</v>
      </c>
      <c r="H15" s="85" t="s">
        <v>56</v>
      </c>
      <c r="I15" s="307">
        <f>VLOOKUP(H15,$A$35:$E$58,2,0)</f>
        <v>13</v>
      </c>
      <c r="J15" s="61">
        <f>VLOOKUP(I15,$B$35:$E$58,3,0)</f>
        <v>8.1299999999999997E-2</v>
      </c>
      <c r="L15" s="10"/>
      <c r="M15" s="10"/>
    </row>
    <row r="16" spans="1:13" ht="17.25">
      <c r="A16" s="58" t="str">
        <f>+'S&amp;D'!A23</f>
        <v xml:space="preserve">Allegiant Travel Co. </v>
      </c>
      <c r="B16" s="85" t="str">
        <f>+'S&amp;D'!B23</f>
        <v>ALGT</v>
      </c>
      <c r="C16" s="31" t="str">
        <f>+'S&amp;D'!C23</f>
        <v>AirTrans</v>
      </c>
      <c r="D16" s="49">
        <f>+'Beta for CAPM'!D19</f>
        <v>0.25</v>
      </c>
      <c r="E16" s="31" t="str">
        <f>'Beta for CAPM'!G19</f>
        <v>B+</v>
      </c>
      <c r="F16" s="31" t="s">
        <v>25</v>
      </c>
      <c r="G16" s="249">
        <v>16</v>
      </c>
      <c r="H16" s="85" t="s">
        <v>131</v>
      </c>
      <c r="I16" s="307">
        <f>VLOOKUP(H16,$A$35:$E$58,2,0)</f>
        <v>15</v>
      </c>
      <c r="J16" s="61">
        <f t="shared" ref="J16:J22" si="0">VLOOKUP(I16,$B$35:$E$58,3,0)</f>
        <v>8.1299999999999997E-2</v>
      </c>
      <c r="L16" s="10"/>
      <c r="M16" s="10"/>
    </row>
    <row r="17" spans="1:13" ht="17.25">
      <c r="A17" s="58" t="str">
        <f>+'S&amp;D'!A24</f>
        <v xml:space="preserve">American Airlines </v>
      </c>
      <c r="B17" s="85" t="str">
        <f>+'S&amp;D'!B24</f>
        <v>AAL</v>
      </c>
      <c r="C17" s="31" t="str">
        <f>+'S&amp;D'!C24</f>
        <v>AirTrans</v>
      </c>
      <c r="D17" s="502">
        <f>+'Beta for CAPM'!D20</f>
        <v>0.25</v>
      </c>
      <c r="E17" s="31" t="str">
        <f>'Beta for CAPM'!G20</f>
        <v>B</v>
      </c>
      <c r="F17" s="31" t="s">
        <v>25</v>
      </c>
      <c r="G17" s="249">
        <v>16</v>
      </c>
      <c r="H17" s="85" t="s">
        <v>131</v>
      </c>
      <c r="I17" s="307">
        <f>VLOOKUP(H17,$A$35:$E$58,2,0)</f>
        <v>15</v>
      </c>
      <c r="J17" s="61">
        <f t="shared" si="0"/>
        <v>8.1299999999999997E-2</v>
      </c>
      <c r="L17" s="10"/>
      <c r="M17" s="10"/>
    </row>
    <row r="18" spans="1:13" ht="17.25">
      <c r="A18" s="58" t="str">
        <f>+'S&amp;D'!A25</f>
        <v xml:space="preserve">Delta Air Lines </v>
      </c>
      <c r="B18" s="85" t="str">
        <f>+'S&amp;D'!B25</f>
        <v>DAL</v>
      </c>
      <c r="C18" s="31" t="str">
        <f>+'S&amp;D'!C25</f>
        <v>AirTrans</v>
      </c>
      <c r="D18" s="49">
        <f>+'Beta for CAPM'!D21</f>
        <v>0.245</v>
      </c>
      <c r="E18" s="31" t="str">
        <f>'Beta for CAPM'!G21</f>
        <v>B++</v>
      </c>
      <c r="F18" s="31" t="s">
        <v>298</v>
      </c>
      <c r="G18" s="249">
        <v>12</v>
      </c>
      <c r="H18" s="85" t="s">
        <v>53</v>
      </c>
      <c r="I18" s="307">
        <f>VLOOKUP(H18,$A$35:$E$58,2,0)</f>
        <v>11</v>
      </c>
      <c r="J18" s="61">
        <f t="shared" si="0"/>
        <v>5.8999999999999997E-2</v>
      </c>
      <c r="L18" s="10"/>
      <c r="M18" s="10"/>
    </row>
    <row r="19" spans="1:13" ht="17.25">
      <c r="A19" s="58" t="str">
        <f>+'S&amp;D'!A26</f>
        <v xml:space="preserve">JetBlue Airways </v>
      </c>
      <c r="B19" s="85" t="str">
        <f>+'S&amp;D'!B26</f>
        <v>JBLU</v>
      </c>
      <c r="C19" s="31" t="str">
        <f>+'S&amp;D'!C26</f>
        <v>AirTrans</v>
      </c>
      <c r="D19" s="502" t="str">
        <f>+'Beta for CAPM'!D22</f>
        <v>NMF</v>
      </c>
      <c r="E19" s="31" t="str">
        <f>'Beta for CAPM'!G22</f>
        <v>C++</v>
      </c>
      <c r="F19" s="31" t="s">
        <v>303</v>
      </c>
      <c r="G19" s="249">
        <v>19</v>
      </c>
      <c r="H19" s="85" t="s">
        <v>126</v>
      </c>
      <c r="I19" s="307">
        <f>VLOOKUP(H19,$A$35:$E$58,2,0)</f>
        <v>20</v>
      </c>
      <c r="J19" s="61">
        <f t="shared" si="0"/>
        <v>9.8500000000000004E-2</v>
      </c>
      <c r="L19" s="10"/>
      <c r="M19" s="10"/>
    </row>
    <row r="20" spans="1:13" ht="17.25">
      <c r="A20" s="58" t="str">
        <f>+'S&amp;D'!A27</f>
        <v>Skywest Inc</v>
      </c>
      <c r="B20" s="85" t="str">
        <f>+'S&amp;D'!B27</f>
        <v>SKYW</v>
      </c>
      <c r="C20" s="31" t="str">
        <f>+'S&amp;D'!C27</f>
        <v>AirTrans</v>
      </c>
      <c r="D20" s="49">
        <f>+'Beta for CAPM'!D23</f>
        <v>0.25</v>
      </c>
      <c r="E20" s="31" t="str">
        <f>'Beta for CAPM'!G23</f>
        <v>B++</v>
      </c>
      <c r="F20" s="31"/>
      <c r="G20" s="249"/>
      <c r="H20" s="85" t="s">
        <v>460</v>
      </c>
      <c r="I20" s="307"/>
      <c r="J20" s="61" t="s">
        <v>460</v>
      </c>
      <c r="L20" s="10"/>
      <c r="M20" s="10"/>
    </row>
    <row r="21" spans="1:13" ht="17.25">
      <c r="A21" s="58" t="str">
        <f>+'S&amp;D'!A28</f>
        <v xml:space="preserve">Southwest Airlines </v>
      </c>
      <c r="B21" s="85" t="str">
        <f>+'S&amp;D'!B28</f>
        <v>LUV</v>
      </c>
      <c r="C21" s="31" t="str">
        <f>+'S&amp;D'!C28</f>
        <v>AirTrans</v>
      </c>
      <c r="D21" s="49">
        <f>+'Beta for CAPM'!D24</f>
        <v>0.23</v>
      </c>
      <c r="E21" s="31" t="str">
        <f>'Beta for CAPM'!G24</f>
        <v>B++</v>
      </c>
      <c r="F21" s="31" t="s">
        <v>297</v>
      </c>
      <c r="G21" s="249">
        <v>11</v>
      </c>
      <c r="H21" s="85" t="s">
        <v>53</v>
      </c>
      <c r="I21" s="307">
        <f t="shared" ref="I21" si="1">VLOOKUP(H21,$A$35:$E$58,2,0)</f>
        <v>11</v>
      </c>
      <c r="J21" s="61">
        <f t="shared" si="0"/>
        <v>5.8999999999999997E-2</v>
      </c>
      <c r="L21" s="10"/>
      <c r="M21" s="10"/>
    </row>
    <row r="22" spans="1:13" ht="17.25">
      <c r="A22" s="58" t="str">
        <f>+'S&amp;D'!A29</f>
        <v>United Airlines Holdings Inc</v>
      </c>
      <c r="B22" s="85" t="str">
        <f>+'S&amp;D'!B29</f>
        <v>UAL</v>
      </c>
      <c r="C22" s="31" t="str">
        <f>+'S&amp;D'!C29</f>
        <v>AirTrans</v>
      </c>
      <c r="D22" s="49">
        <f>+'Beta for CAPM'!D25</f>
        <v>0.23</v>
      </c>
      <c r="E22" s="31" t="str">
        <f>'Beta for CAPM'!G25</f>
        <v>B+</v>
      </c>
      <c r="F22" s="31" t="s">
        <v>299</v>
      </c>
      <c r="G22" s="249">
        <v>13</v>
      </c>
      <c r="H22" s="85" t="s">
        <v>56</v>
      </c>
      <c r="I22" s="307">
        <v>13</v>
      </c>
      <c r="J22" s="61">
        <f t="shared" si="0"/>
        <v>8.1299999999999997E-2</v>
      </c>
      <c r="L22" s="10"/>
      <c r="M22" s="10"/>
    </row>
    <row r="23" spans="1:13" ht="17.25" thickBot="1">
      <c r="A23" s="10"/>
      <c r="B23" s="10"/>
      <c r="C23" s="40"/>
      <c r="D23" s="43"/>
      <c r="E23" s="43"/>
      <c r="F23" s="43"/>
      <c r="G23" s="43"/>
      <c r="H23" s="43" t="s">
        <v>44</v>
      </c>
      <c r="I23" s="43"/>
      <c r="J23" s="43"/>
      <c r="L23" s="10"/>
      <c r="M23" s="10"/>
    </row>
    <row r="24" spans="1:13" ht="17.25" thickTop="1">
      <c r="A24" s="10"/>
      <c r="B24" s="10"/>
      <c r="E24" s="12" t="s">
        <v>45</v>
      </c>
      <c r="G24" s="250">
        <f>MAX(G15:G22)</f>
        <v>19</v>
      </c>
      <c r="H24" s="265"/>
      <c r="I24" s="272">
        <f>MAX(I15:I22)</f>
        <v>20</v>
      </c>
      <c r="J24" s="265">
        <f>MAX(J15:J22)</f>
        <v>9.8500000000000004E-2</v>
      </c>
      <c r="L24" s="10"/>
      <c r="M24" s="10"/>
    </row>
    <row r="25" spans="1:13" ht="16.5">
      <c r="A25" s="10"/>
      <c r="B25" s="10"/>
      <c r="E25" s="275" t="s">
        <v>46</v>
      </c>
      <c r="F25" s="208"/>
      <c r="G25" s="251">
        <f>MIN(G15:G22)</f>
        <v>11</v>
      </c>
      <c r="H25" s="266"/>
      <c r="I25" s="273">
        <f>MIN(I15:I22)</f>
        <v>11</v>
      </c>
      <c r="J25" s="266">
        <f>MIN(J15:J22)</f>
        <v>5.8999999999999997E-2</v>
      </c>
      <c r="L25" s="10"/>
      <c r="M25" s="10"/>
    </row>
    <row r="26" spans="1:13" ht="16.5">
      <c r="A26" s="10"/>
      <c r="B26" s="10"/>
      <c r="E26" s="12" t="s">
        <v>18</v>
      </c>
      <c r="G26" s="186">
        <f>MEDIAN(G15:G22)</f>
        <v>14</v>
      </c>
      <c r="H26" s="51" t="s">
        <v>0</v>
      </c>
      <c r="I26" s="187">
        <f>MEDIAN(I15:I22)</f>
        <v>13</v>
      </c>
      <c r="J26" s="51">
        <f>MEDIAN(J15:J22)</f>
        <v>8.1299999999999997E-2</v>
      </c>
      <c r="L26" s="10"/>
      <c r="M26" s="10"/>
    </row>
    <row r="27" spans="1:13" ht="16.5">
      <c r="A27" s="10"/>
      <c r="B27" s="10"/>
      <c r="D27" s="12" t="s">
        <v>0</v>
      </c>
      <c r="E27" s="12" t="s">
        <v>387</v>
      </c>
      <c r="G27" s="187">
        <f>AVERAGE(G15:G22)</f>
        <v>14.428571428571429</v>
      </c>
      <c r="H27" s="51" t="s">
        <v>0</v>
      </c>
      <c r="I27" s="187">
        <f>AVERAGE(I15:I22)</f>
        <v>14</v>
      </c>
      <c r="J27" s="51">
        <f>AVERAGE(J15:J22)</f>
        <v>7.738571428571428E-2</v>
      </c>
      <c r="L27" s="10"/>
      <c r="M27" s="10"/>
    </row>
    <row r="28" spans="1:13" ht="16.5">
      <c r="A28" s="10"/>
      <c r="B28" s="10"/>
      <c r="D28" s="52"/>
      <c r="E28" s="12"/>
      <c r="G28" s="187"/>
      <c r="H28" s="51"/>
      <c r="I28" s="187"/>
      <c r="J28" s="51"/>
      <c r="L28" s="10"/>
      <c r="M28" s="10"/>
    </row>
    <row r="29" spans="1:13" ht="17.25" thickBot="1">
      <c r="A29" s="10"/>
      <c r="B29" s="10"/>
      <c r="C29" s="10"/>
      <c r="D29" s="10"/>
      <c r="E29" s="12"/>
      <c r="F29" s="52"/>
      <c r="H29" s="10"/>
      <c r="I29" s="10"/>
      <c r="J29" s="10"/>
      <c r="K29" s="10"/>
      <c r="L29" s="10"/>
      <c r="M29" s="10"/>
    </row>
    <row r="30" spans="1:13" ht="27" thickBot="1">
      <c r="A30" s="10"/>
      <c r="B30" s="10"/>
      <c r="C30" s="10"/>
      <c r="D30" s="10"/>
      <c r="E30" s="10"/>
      <c r="F30" s="162"/>
      <c r="G30" s="270"/>
      <c r="H30" s="163" t="s">
        <v>229</v>
      </c>
      <c r="I30" s="362"/>
      <c r="J30" s="361">
        <v>7.7399999999999997E-2</v>
      </c>
      <c r="K30" s="10"/>
      <c r="L30" s="10"/>
      <c r="M30" s="10"/>
    </row>
    <row r="31" spans="1:13" ht="16.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ht="16.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21" thickBot="1">
      <c r="A33" s="238" t="s">
        <v>137</v>
      </c>
      <c r="B33" s="10"/>
      <c r="G33" s="10"/>
      <c r="H33" s="10"/>
      <c r="I33" s="10"/>
      <c r="J33" s="10"/>
      <c r="K33" s="10"/>
      <c r="L33" s="10"/>
      <c r="M33" s="10"/>
    </row>
    <row r="34" spans="1:13" ht="24">
      <c r="A34" s="390" t="s">
        <v>462</v>
      </c>
      <c r="B34" s="390" t="s">
        <v>307</v>
      </c>
      <c r="C34" s="390" t="s">
        <v>389</v>
      </c>
      <c r="D34" s="405" t="s">
        <v>422</v>
      </c>
      <c r="E34" s="405" t="s">
        <v>423</v>
      </c>
      <c r="F34" s="10"/>
      <c r="G34" s="10"/>
      <c r="H34" s="10"/>
      <c r="I34" s="10"/>
      <c r="M34" s="10"/>
    </row>
    <row r="35" spans="1:13" ht="17.25">
      <c r="A35" s="244" t="s">
        <v>319</v>
      </c>
      <c r="B35" s="248">
        <v>1</v>
      </c>
      <c r="C35" s="245" t="s">
        <v>318</v>
      </c>
      <c r="D35" s="391">
        <v>5.3100000000000001E-2</v>
      </c>
      <c r="E35" s="391">
        <v>5.3100000000000001E-2</v>
      </c>
      <c r="F35" s="10"/>
      <c r="G35" s="10"/>
      <c r="H35" s="10"/>
      <c r="I35" s="10"/>
      <c r="M35" s="10"/>
    </row>
    <row r="36" spans="1:13" ht="17.25">
      <c r="A36" s="53" t="s">
        <v>320</v>
      </c>
      <c r="B36" s="239">
        <v>2</v>
      </c>
      <c r="C36" s="246" t="s">
        <v>292</v>
      </c>
      <c r="D36" s="391">
        <v>5.3100000000000001E-2</v>
      </c>
      <c r="E36" s="391">
        <v>5.3100000000000001E-2</v>
      </c>
      <c r="F36" s="10" t="s">
        <v>186</v>
      </c>
      <c r="H36" s="10"/>
      <c r="I36" s="10"/>
      <c r="M36" s="10"/>
    </row>
    <row r="37" spans="1:13" ht="17.25">
      <c r="A37" s="54" t="s">
        <v>321</v>
      </c>
      <c r="B37" s="241">
        <v>3</v>
      </c>
      <c r="C37" s="247" t="s">
        <v>317</v>
      </c>
      <c r="D37" s="391">
        <v>5.3100000000000001E-2</v>
      </c>
      <c r="E37" s="391">
        <v>5.3100000000000001E-2</v>
      </c>
      <c r="F37" s="10"/>
      <c r="H37" s="10"/>
      <c r="I37" s="10"/>
      <c r="M37" s="10"/>
    </row>
    <row r="38" spans="1:13" ht="17.25">
      <c r="A38" s="53" t="s">
        <v>136</v>
      </c>
      <c r="B38" s="239">
        <v>4</v>
      </c>
      <c r="C38" s="240" t="s">
        <v>291</v>
      </c>
      <c r="D38" s="391">
        <v>5.4899999999999997E-2</v>
      </c>
      <c r="E38" s="391">
        <v>5.57E-2</v>
      </c>
      <c r="F38" s="10"/>
      <c r="H38" s="10"/>
      <c r="I38" s="10"/>
      <c r="M38" s="10"/>
    </row>
    <row r="39" spans="1:13" ht="17.25">
      <c r="A39" s="53" t="s">
        <v>135</v>
      </c>
      <c r="B39" s="239">
        <v>5</v>
      </c>
      <c r="C39" s="240" t="s">
        <v>293</v>
      </c>
      <c r="D39" s="391">
        <v>5.4899999999999997E-2</v>
      </c>
      <c r="E39" s="391">
        <v>5.57E-2</v>
      </c>
      <c r="F39" s="10" t="s">
        <v>294</v>
      </c>
      <c r="H39" s="10"/>
      <c r="I39" s="10"/>
      <c r="M39" s="10"/>
    </row>
    <row r="40" spans="1:13" ht="17.25">
      <c r="A40" s="54" t="s">
        <v>134</v>
      </c>
      <c r="B40" s="241">
        <v>6</v>
      </c>
      <c r="C40" s="242" t="s">
        <v>295</v>
      </c>
      <c r="D40" s="391">
        <v>5.4899999999999997E-2</v>
      </c>
      <c r="E40" s="391">
        <v>5.57E-2</v>
      </c>
      <c r="F40" s="10"/>
      <c r="H40" s="10"/>
      <c r="I40" s="10"/>
      <c r="M40" s="10"/>
    </row>
    <row r="41" spans="1:13" ht="17.25">
      <c r="A41" s="53" t="s">
        <v>55</v>
      </c>
      <c r="B41" s="239">
        <v>7</v>
      </c>
      <c r="C41" s="240" t="s">
        <v>43</v>
      </c>
      <c r="D41" s="392">
        <v>5.6300000000000003E-2</v>
      </c>
      <c r="E41" s="392">
        <v>5.6800000000000003E-2</v>
      </c>
      <c r="H41" s="10"/>
      <c r="I41" s="10"/>
      <c r="M41" s="10"/>
    </row>
    <row r="42" spans="1:13" ht="17.25">
      <c r="A42" s="53" t="s">
        <v>133</v>
      </c>
      <c r="B42" s="239">
        <v>8</v>
      </c>
      <c r="C42" s="240" t="s">
        <v>24</v>
      </c>
      <c r="D42" s="392">
        <v>5.6300000000000003E-2</v>
      </c>
      <c r="E42" s="392">
        <v>5.6800000000000003E-2</v>
      </c>
      <c r="F42" s="10" t="s">
        <v>187</v>
      </c>
      <c r="H42" s="10"/>
      <c r="I42" s="10"/>
      <c r="M42" s="10"/>
    </row>
    <row r="43" spans="1:13" ht="17.25">
      <c r="A43" s="54" t="s">
        <v>57</v>
      </c>
      <c r="B43" s="241">
        <v>9</v>
      </c>
      <c r="C43" s="242" t="s">
        <v>59</v>
      </c>
      <c r="D43" s="392">
        <v>5.6300000000000003E-2</v>
      </c>
      <c r="E43" s="392">
        <v>5.6800000000000003E-2</v>
      </c>
      <c r="F43" s="10"/>
      <c r="H43" s="10"/>
      <c r="I43" s="10"/>
      <c r="M43" s="10"/>
    </row>
    <row r="44" spans="1:13" ht="17.25">
      <c r="A44" s="53" t="s">
        <v>52</v>
      </c>
      <c r="B44" s="239">
        <v>10</v>
      </c>
      <c r="C44" s="240" t="s">
        <v>296</v>
      </c>
      <c r="D44" s="392">
        <v>5.8999999999999997E-2</v>
      </c>
      <c r="E44" s="392">
        <v>5.8799999999999998E-2</v>
      </c>
      <c r="H44" s="10"/>
      <c r="I44" s="10"/>
      <c r="J44" s="10"/>
      <c r="K44" s="10"/>
      <c r="L44" s="10"/>
      <c r="M44" s="10"/>
    </row>
    <row r="45" spans="1:13" ht="17.25">
      <c r="A45" s="53" t="s">
        <v>53</v>
      </c>
      <c r="B45" s="239">
        <v>11</v>
      </c>
      <c r="C45" s="240" t="s">
        <v>297</v>
      </c>
      <c r="D45" s="392">
        <v>5.8999999999999997E-2</v>
      </c>
      <c r="E45" s="392">
        <v>5.8799999999999998E-2</v>
      </c>
      <c r="F45" s="10" t="s">
        <v>190</v>
      </c>
      <c r="H45" s="10"/>
      <c r="I45" s="10"/>
      <c r="J45" s="10"/>
      <c r="K45" s="10"/>
      <c r="L45" s="10"/>
      <c r="M45" s="10"/>
    </row>
    <row r="46" spans="1:13" ht="17.25">
      <c r="A46" s="54" t="s">
        <v>58</v>
      </c>
      <c r="B46" s="241">
        <v>12</v>
      </c>
      <c r="C46" s="242" t="s">
        <v>298</v>
      </c>
      <c r="D46" s="392">
        <v>5.8999999999999997E-2</v>
      </c>
      <c r="E46" s="392">
        <v>5.8799999999999998E-2</v>
      </c>
      <c r="F46" s="10"/>
      <c r="H46" s="10"/>
      <c r="I46" s="10"/>
      <c r="J46" s="10"/>
      <c r="K46" s="10"/>
      <c r="L46" s="10"/>
      <c r="M46" s="10"/>
    </row>
    <row r="47" spans="1:13" ht="17.25">
      <c r="A47" s="53" t="s">
        <v>56</v>
      </c>
      <c r="B47" s="239">
        <v>13</v>
      </c>
      <c r="C47" s="240" t="s">
        <v>299</v>
      </c>
      <c r="D47" s="391">
        <v>8.1299999999999997E-2</v>
      </c>
      <c r="E47" s="391">
        <v>8.14E-2</v>
      </c>
      <c r="H47" s="10"/>
      <c r="I47" s="10"/>
      <c r="J47" s="10"/>
      <c r="K47" s="10"/>
      <c r="L47" s="10"/>
      <c r="M47" s="10"/>
    </row>
    <row r="48" spans="1:13" ht="17.25">
      <c r="A48" s="53" t="s">
        <v>132</v>
      </c>
      <c r="B48" s="239">
        <v>14</v>
      </c>
      <c r="C48" s="240" t="s">
        <v>300</v>
      </c>
      <c r="D48" s="391">
        <v>8.1299999999999997E-2</v>
      </c>
      <c r="E48" s="391">
        <v>8.14E-2</v>
      </c>
      <c r="F48" s="10" t="s">
        <v>189</v>
      </c>
      <c r="H48" s="10"/>
      <c r="I48" s="10"/>
      <c r="J48" s="10"/>
      <c r="K48" s="10"/>
      <c r="L48" s="10"/>
      <c r="M48" s="10"/>
    </row>
    <row r="49" spans="1:13" ht="17.25">
      <c r="A49" s="54" t="s">
        <v>131</v>
      </c>
      <c r="B49" s="241">
        <v>15</v>
      </c>
      <c r="C49" s="242" t="s">
        <v>301</v>
      </c>
      <c r="D49" s="391">
        <v>8.1299999999999997E-2</v>
      </c>
      <c r="E49" s="391">
        <v>8.14E-2</v>
      </c>
      <c r="F49" s="10"/>
      <c r="H49" s="10"/>
      <c r="I49" s="10"/>
      <c r="J49" s="10"/>
      <c r="K49" s="10"/>
      <c r="L49" s="10"/>
      <c r="M49" s="10"/>
    </row>
    <row r="50" spans="1:13" ht="17.25">
      <c r="A50" s="53" t="s">
        <v>130</v>
      </c>
      <c r="B50" s="239">
        <v>16</v>
      </c>
      <c r="C50" s="240" t="s">
        <v>25</v>
      </c>
      <c r="D50" s="392">
        <v>8.9899999999999994E-2</v>
      </c>
      <c r="E50" s="392">
        <v>0.09</v>
      </c>
      <c r="H50" s="10"/>
      <c r="I50" s="10"/>
      <c r="J50" s="10"/>
      <c r="K50" s="10"/>
      <c r="L50" s="10"/>
      <c r="M50" s="10"/>
    </row>
    <row r="51" spans="1:13" ht="17.25">
      <c r="A51" s="53" t="s">
        <v>129</v>
      </c>
      <c r="B51" s="239">
        <v>17</v>
      </c>
      <c r="C51" s="240" t="s">
        <v>88</v>
      </c>
      <c r="D51" s="392">
        <v>8.9899999999999994E-2</v>
      </c>
      <c r="E51" s="392">
        <v>0.09</v>
      </c>
      <c r="F51" s="10" t="s">
        <v>188</v>
      </c>
      <c r="H51" s="10"/>
      <c r="I51" s="10"/>
      <c r="J51" s="10"/>
      <c r="K51" s="10"/>
      <c r="L51" s="10"/>
      <c r="M51" s="10"/>
    </row>
    <row r="52" spans="1:13" ht="17.25">
      <c r="A52" s="54" t="s">
        <v>128</v>
      </c>
      <c r="B52" s="241">
        <v>18</v>
      </c>
      <c r="C52" s="242" t="s">
        <v>302</v>
      </c>
      <c r="D52" s="392">
        <v>8.9899999999999994E-2</v>
      </c>
      <c r="E52" s="392">
        <v>0.09</v>
      </c>
      <c r="F52" s="10"/>
      <c r="H52" s="10"/>
      <c r="I52" s="10"/>
      <c r="J52" s="10"/>
      <c r="K52" s="10"/>
      <c r="L52" s="10"/>
      <c r="M52" s="10"/>
    </row>
    <row r="53" spans="1:13" ht="17.25">
      <c r="A53" s="53" t="s">
        <v>127</v>
      </c>
      <c r="B53" s="239">
        <v>19</v>
      </c>
      <c r="C53" s="240" t="s">
        <v>303</v>
      </c>
      <c r="D53" s="392">
        <v>9.8500000000000004E-2</v>
      </c>
      <c r="E53" s="392">
        <v>9.8599999999999993E-2</v>
      </c>
      <c r="H53" s="10"/>
      <c r="I53" s="10"/>
      <c r="J53" s="10"/>
      <c r="K53" s="10"/>
      <c r="L53" s="10"/>
      <c r="M53" s="10"/>
    </row>
    <row r="54" spans="1:13" ht="17.25">
      <c r="A54" s="53" t="s">
        <v>126</v>
      </c>
      <c r="B54" s="239">
        <v>20</v>
      </c>
      <c r="C54" s="240" t="s">
        <v>304</v>
      </c>
      <c r="D54" s="392">
        <v>9.8500000000000004E-2</v>
      </c>
      <c r="E54" s="392">
        <v>9.8599999999999993E-2</v>
      </c>
      <c r="F54" s="10" t="s">
        <v>185</v>
      </c>
      <c r="H54" s="10"/>
      <c r="I54" s="10"/>
      <c r="J54" s="10"/>
      <c r="K54" s="10"/>
      <c r="L54" s="10"/>
      <c r="M54" s="10"/>
    </row>
    <row r="55" spans="1:13" ht="17.25">
      <c r="A55" s="54" t="s">
        <v>125</v>
      </c>
      <c r="B55" s="241">
        <v>21</v>
      </c>
      <c r="C55" s="393" t="s">
        <v>305</v>
      </c>
      <c r="D55" s="392">
        <v>9.8500000000000004E-2</v>
      </c>
      <c r="E55" s="392">
        <v>9.8599999999999993E-2</v>
      </c>
      <c r="F55" s="10"/>
      <c r="H55" s="10"/>
      <c r="I55" s="10"/>
      <c r="J55" s="10"/>
      <c r="K55" s="10"/>
      <c r="L55" s="10"/>
      <c r="M55" s="10"/>
    </row>
    <row r="56" spans="1:13" ht="17.25">
      <c r="A56" s="394" t="s">
        <v>312</v>
      </c>
      <c r="B56" s="395">
        <v>22</v>
      </c>
      <c r="C56" s="396" t="s">
        <v>315</v>
      </c>
      <c r="D56" s="392"/>
      <c r="E56" s="392"/>
      <c r="H56" s="10"/>
      <c r="I56" s="10"/>
      <c r="J56" s="10"/>
      <c r="K56" s="10"/>
      <c r="L56" s="10"/>
      <c r="M56" s="10"/>
    </row>
    <row r="57" spans="1:13" ht="17.25">
      <c r="A57" s="394" t="s">
        <v>313</v>
      </c>
      <c r="B57" s="397">
        <v>23</v>
      </c>
      <c r="C57" s="398" t="s">
        <v>306</v>
      </c>
      <c r="D57" s="392"/>
      <c r="E57" s="392"/>
      <c r="F57" s="10" t="s">
        <v>183</v>
      </c>
      <c r="H57" s="10"/>
      <c r="I57" s="10"/>
      <c r="J57" s="10"/>
      <c r="K57" s="10"/>
      <c r="L57" s="10"/>
      <c r="M57" s="10"/>
    </row>
    <row r="58" spans="1:13" ht="18" thickBot="1">
      <c r="A58" s="399" t="s">
        <v>314</v>
      </c>
      <c r="B58" s="400">
        <v>24</v>
      </c>
      <c r="C58" s="393" t="s">
        <v>316</v>
      </c>
      <c r="D58" s="392"/>
      <c r="E58" s="392"/>
      <c r="F58" s="10"/>
      <c r="H58" s="10"/>
      <c r="I58" s="10"/>
      <c r="J58" s="10"/>
      <c r="K58" s="10"/>
      <c r="L58" s="10"/>
      <c r="M58" s="10"/>
    </row>
    <row r="59" spans="1:13" ht="18" thickBot="1">
      <c r="A59" s="54" t="s">
        <v>245</v>
      </c>
      <c r="B59" s="241">
        <v>25</v>
      </c>
      <c r="C59" s="54" t="s">
        <v>89</v>
      </c>
      <c r="D59" s="401"/>
      <c r="E59" s="401"/>
      <c r="F59" s="10" t="s">
        <v>184</v>
      </c>
      <c r="H59" s="10"/>
      <c r="I59" s="10"/>
      <c r="J59" s="10"/>
      <c r="K59" s="10"/>
      <c r="L59" s="10"/>
    </row>
  </sheetData>
  <pageMargins left="0.25" right="0.25" top="0.75" bottom="0.75" header="0.3" footer="0.3"/>
  <pageSetup scale="44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39"/>
  <sheetViews>
    <sheetView view="pageBreakPreview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3.140625" customWidth="1"/>
    <col min="3" max="3" width="19.85546875" customWidth="1"/>
    <col min="4" max="4" width="24.5703125" customWidth="1"/>
    <col min="5" max="5" width="22.5703125" customWidth="1"/>
    <col min="6" max="7" width="21.42578125" customWidth="1"/>
    <col min="8" max="8" width="12.42578125" customWidth="1"/>
    <col min="9" max="9" width="18.42578125" customWidth="1"/>
    <col min="10" max="10" width="21.42578125" customWidth="1"/>
    <col min="11" max="11" width="2.42578125" customWidth="1"/>
    <col min="12" max="12" width="22.5703125" customWidth="1"/>
    <col min="13" max="13" width="17.42578125" customWidth="1"/>
  </cols>
  <sheetData>
    <row r="1" spans="1:14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7.25">
      <c r="A2" s="58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6.5">
      <c r="A3" s="23" t="s">
        <v>465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5">
      <c r="A4" s="10"/>
      <c r="B4" s="10"/>
      <c r="C4" s="10"/>
      <c r="D4" s="503" t="s">
        <v>0</v>
      </c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8" thickBot="1">
      <c r="A5" s="58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8" thickBot="1">
      <c r="A6" s="228" t="str">
        <f>+'S&amp;D'!A12</f>
        <v>Air Passenger Carriers</v>
      </c>
      <c r="B6" s="167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7.25">
      <c r="A7" s="5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8" thickBot="1">
      <c r="A8" s="58"/>
      <c r="B8" s="10"/>
      <c r="C8" s="26"/>
      <c r="D8" s="26"/>
      <c r="E8" s="26"/>
      <c r="F8" s="10"/>
      <c r="G8" s="10"/>
      <c r="H8" s="26"/>
      <c r="I8" s="26"/>
      <c r="J8" s="26"/>
      <c r="K8" s="26"/>
      <c r="L8" s="26"/>
      <c r="M8" s="26"/>
      <c r="N8" s="10"/>
    </row>
    <row r="9" spans="1:14" ht="26.25">
      <c r="B9" s="10"/>
      <c r="C9" s="10"/>
      <c r="D9" s="28" t="s">
        <v>281</v>
      </c>
      <c r="E9" s="10"/>
      <c r="F9" s="10"/>
      <c r="G9" s="10"/>
      <c r="H9" s="10"/>
      <c r="I9" s="10"/>
      <c r="J9" s="10"/>
      <c r="K9" s="64" t="s">
        <v>282</v>
      </c>
      <c r="L9" s="10"/>
      <c r="M9" s="10"/>
      <c r="N9" s="10"/>
    </row>
    <row r="10" spans="1:14" ht="21" thickBot="1">
      <c r="A10" s="27"/>
      <c r="B10" s="10"/>
      <c r="C10" s="26"/>
      <c r="D10" s="29" t="s">
        <v>478</v>
      </c>
      <c r="E10" s="26"/>
      <c r="F10" s="10"/>
      <c r="G10" s="10"/>
      <c r="H10" s="26"/>
      <c r="I10" s="26"/>
      <c r="J10" s="26"/>
      <c r="K10" s="29" t="s">
        <v>478</v>
      </c>
      <c r="L10" s="26"/>
      <c r="M10" s="26"/>
      <c r="N10" s="10"/>
    </row>
    <row r="11" spans="1:14" ht="17.25" thickBot="1">
      <c r="A11" s="30" t="s">
        <v>0</v>
      </c>
      <c r="B11" s="30" t="s">
        <v>0</v>
      </c>
      <c r="C11" s="30" t="s">
        <v>0</v>
      </c>
      <c r="D11" s="30" t="s">
        <v>0</v>
      </c>
      <c r="E11" s="30" t="s">
        <v>0</v>
      </c>
      <c r="F11" s="30" t="s">
        <v>0</v>
      </c>
      <c r="G11" s="37"/>
      <c r="H11" s="26"/>
      <c r="I11" s="30" t="s">
        <v>0</v>
      </c>
      <c r="J11" s="26"/>
      <c r="K11" s="26"/>
      <c r="L11" s="26"/>
      <c r="M11" s="26"/>
      <c r="N11" s="10"/>
    </row>
    <row r="12" spans="1:14" ht="16.5">
      <c r="A12" s="31" t="s">
        <v>0</v>
      </c>
      <c r="B12" s="31" t="s">
        <v>3</v>
      </c>
      <c r="C12" s="31" t="s">
        <v>322</v>
      </c>
      <c r="D12" s="31" t="s">
        <v>109</v>
      </c>
      <c r="E12" s="31" t="s">
        <v>109</v>
      </c>
      <c r="F12" s="31" t="s">
        <v>26</v>
      </c>
      <c r="G12" s="31"/>
      <c r="H12" s="31" t="s">
        <v>3</v>
      </c>
      <c r="I12" s="31" t="s">
        <v>322</v>
      </c>
      <c r="J12" s="31" t="s">
        <v>109</v>
      </c>
      <c r="K12" s="31"/>
      <c r="L12" s="31" t="s">
        <v>109</v>
      </c>
      <c r="M12" s="31" t="s">
        <v>26</v>
      </c>
      <c r="N12" s="10"/>
    </row>
    <row r="13" spans="1:14" ht="17.25" thickBot="1">
      <c r="A13" s="33" t="s">
        <v>2</v>
      </c>
      <c r="B13" s="33" t="s">
        <v>4</v>
      </c>
      <c r="C13" s="33" t="s">
        <v>27</v>
      </c>
      <c r="D13" s="33" t="s">
        <v>158</v>
      </c>
      <c r="E13" s="33" t="s">
        <v>28</v>
      </c>
      <c r="F13" s="33" t="s">
        <v>29</v>
      </c>
      <c r="G13" s="31"/>
      <c r="H13" s="33" t="s">
        <v>4</v>
      </c>
      <c r="I13" s="33" t="s">
        <v>27</v>
      </c>
      <c r="J13" s="33" t="s">
        <v>158</v>
      </c>
      <c r="K13" s="33"/>
      <c r="L13" s="33" t="s">
        <v>28</v>
      </c>
      <c r="M13" s="33" t="s">
        <v>29</v>
      </c>
      <c r="N13" s="10"/>
    </row>
    <row r="14" spans="1:14" ht="16.5">
      <c r="A14" s="35" t="s">
        <v>0</v>
      </c>
      <c r="B14" s="35" t="s">
        <v>0</v>
      </c>
      <c r="C14" s="36" t="s">
        <v>112</v>
      </c>
      <c r="D14" s="35" t="s">
        <v>113</v>
      </c>
      <c r="E14" s="35" t="s">
        <v>0</v>
      </c>
      <c r="F14" s="35" t="s">
        <v>0</v>
      </c>
      <c r="G14" s="37"/>
      <c r="H14" s="35" t="s">
        <v>0</v>
      </c>
      <c r="I14" s="36" t="s">
        <v>112</v>
      </c>
      <c r="J14" s="35" t="s">
        <v>114</v>
      </c>
      <c r="K14" s="35"/>
      <c r="L14" s="35" t="s">
        <v>0</v>
      </c>
      <c r="M14" s="35" t="s">
        <v>0</v>
      </c>
      <c r="N14" s="10"/>
    </row>
    <row r="15" spans="1:14" ht="16.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10"/>
    </row>
    <row r="16" spans="1:14" ht="16.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17.25">
      <c r="A17" s="58" t="str">
        <f>+'S&amp;D'!A22</f>
        <v xml:space="preserve">Alaska Air </v>
      </c>
      <c r="B17" s="85" t="str">
        <f>+'S&amp;D'!B22</f>
        <v>ALK</v>
      </c>
      <c r="C17" s="55">
        <f>+'S&amp;D'!G22</f>
        <v>50.3</v>
      </c>
      <c r="D17" s="57">
        <v>12.6</v>
      </c>
      <c r="E17" s="65">
        <f>C17/D17</f>
        <v>3.9920634920634921</v>
      </c>
      <c r="F17" s="52">
        <f>1/E17</f>
        <v>0.25049701789264411</v>
      </c>
      <c r="G17" s="52"/>
      <c r="H17" s="85" t="str">
        <f t="shared" ref="H17:I19" si="0">+B17</f>
        <v>ALK</v>
      </c>
      <c r="I17" s="55">
        <f t="shared" si="0"/>
        <v>50.3</v>
      </c>
      <c r="J17" s="57">
        <v>16</v>
      </c>
      <c r="K17" s="57"/>
      <c r="L17" s="65">
        <f>I17/J17</f>
        <v>3.1437499999999998</v>
      </c>
      <c r="M17" s="52">
        <f>1/L17</f>
        <v>0.31809145129224653</v>
      </c>
      <c r="N17" s="10"/>
    </row>
    <row r="18" spans="1:14" ht="17.25">
      <c r="A18" s="58" t="str">
        <f>+'S&amp;D'!A23</f>
        <v xml:space="preserve">Allegiant Travel Co. </v>
      </c>
      <c r="B18" s="85" t="str">
        <f>+'S&amp;D'!B23</f>
        <v>ALGT</v>
      </c>
      <c r="C18" s="55">
        <f>+'S&amp;D'!G23</f>
        <v>85.27</v>
      </c>
      <c r="D18" s="57">
        <v>21.31</v>
      </c>
      <c r="E18" s="65">
        <f>C18/D18</f>
        <v>4.0014077897700613</v>
      </c>
      <c r="F18" s="52">
        <f>1/E18</f>
        <v>0.24991204409522691</v>
      </c>
      <c r="G18" s="52"/>
      <c r="H18" s="85" t="str">
        <f t="shared" si="0"/>
        <v>ALGT</v>
      </c>
      <c r="I18" s="55">
        <f t="shared" si="0"/>
        <v>85.27</v>
      </c>
      <c r="J18" s="57">
        <v>23.9</v>
      </c>
      <c r="K18" s="57"/>
      <c r="L18" s="65">
        <f>I18/J18</f>
        <v>3.5677824267782428</v>
      </c>
      <c r="M18" s="52">
        <f>1/L18</f>
        <v>0.28028614987686173</v>
      </c>
      <c r="N18" s="10"/>
    </row>
    <row r="19" spans="1:14" ht="17.25">
      <c r="A19" s="58" t="str">
        <f>+'S&amp;D'!A24</f>
        <v xml:space="preserve">American Airlines </v>
      </c>
      <c r="B19" s="85" t="str">
        <f>+'S&amp;D'!B24</f>
        <v>AAL</v>
      </c>
      <c r="C19" s="55">
        <f>+'S&amp;D'!G24</f>
        <v>15.33</v>
      </c>
      <c r="D19" s="57">
        <v>5.5</v>
      </c>
      <c r="E19" s="65">
        <f>C19/D19</f>
        <v>2.7872727272727271</v>
      </c>
      <c r="F19" s="52">
        <f>1/E19</f>
        <v>0.35877364644487936</v>
      </c>
      <c r="G19" s="52"/>
      <c r="H19" s="85" t="str">
        <f t="shared" si="0"/>
        <v>AAL</v>
      </c>
      <c r="I19" s="55">
        <f t="shared" si="0"/>
        <v>15.33</v>
      </c>
      <c r="J19" s="57">
        <v>6.1</v>
      </c>
      <c r="K19" s="57"/>
      <c r="L19" s="65">
        <f>I19/J19</f>
        <v>2.5131147540983609</v>
      </c>
      <c r="M19" s="52">
        <f>1/L19</f>
        <v>0.39791258969341159</v>
      </c>
      <c r="N19" s="10"/>
    </row>
    <row r="20" spans="1:14" ht="17.25">
      <c r="A20" s="58" t="str">
        <f>+'S&amp;D'!A25</f>
        <v xml:space="preserve">Delta Air Lines </v>
      </c>
      <c r="B20" s="85" t="str">
        <f>+'S&amp;D'!B25</f>
        <v>DAL</v>
      </c>
      <c r="C20" s="55">
        <f>+'S&amp;D'!G25</f>
        <v>69.400000000000006</v>
      </c>
      <c r="D20" s="57">
        <v>11.1</v>
      </c>
      <c r="E20" s="65">
        <f t="shared" ref="E20:E24" si="1">C20/D20</f>
        <v>6.2522522522522532</v>
      </c>
      <c r="F20" s="52">
        <f t="shared" ref="F20:F24" si="2">1/E20</f>
        <v>0.15994236311239191</v>
      </c>
      <c r="G20" s="52"/>
      <c r="H20" s="85" t="str">
        <f t="shared" ref="H20:H24" si="3">+B20</f>
        <v>DAL</v>
      </c>
      <c r="I20" s="55">
        <f t="shared" ref="I20:I24" si="4">+C20</f>
        <v>69.400000000000006</v>
      </c>
      <c r="J20" s="57">
        <v>12.55</v>
      </c>
      <c r="K20" s="57"/>
      <c r="L20" s="65">
        <f t="shared" ref="L20:L24" si="5">I20/J20</f>
        <v>5.5298804780876498</v>
      </c>
      <c r="M20" s="52">
        <f t="shared" ref="M20:M24" si="6">1/L20</f>
        <v>0.18083573487031698</v>
      </c>
      <c r="N20" s="10"/>
    </row>
    <row r="21" spans="1:14" ht="17.25">
      <c r="A21" s="58" t="str">
        <f>+'S&amp;D'!A26</f>
        <v xml:space="preserve">JetBlue Airways </v>
      </c>
      <c r="B21" s="85" t="str">
        <f>+'S&amp;D'!B26</f>
        <v>JBLU</v>
      </c>
      <c r="C21" s="55">
        <f>+'S&amp;D'!G26</f>
        <v>4.55</v>
      </c>
      <c r="D21" s="57">
        <v>1.4</v>
      </c>
      <c r="E21" s="65">
        <f t="shared" si="1"/>
        <v>3.25</v>
      </c>
      <c r="F21" s="52">
        <f t="shared" si="2"/>
        <v>0.30769230769230771</v>
      </c>
      <c r="G21" s="52"/>
      <c r="H21" s="85" t="str">
        <f t="shared" si="3"/>
        <v>JBLU</v>
      </c>
      <c r="I21" s="55">
        <f t="shared" si="4"/>
        <v>4.55</v>
      </c>
      <c r="J21" s="57">
        <v>1.65</v>
      </c>
      <c r="K21" s="57"/>
      <c r="L21" s="65">
        <f t="shared" si="5"/>
        <v>2.7575757575757578</v>
      </c>
      <c r="M21" s="52">
        <f t="shared" si="6"/>
        <v>0.36263736263736263</v>
      </c>
      <c r="N21" s="10"/>
    </row>
    <row r="22" spans="1:14" ht="17.25">
      <c r="A22" s="58" t="str">
        <f>+'S&amp;D'!A27</f>
        <v>Skywest Inc</v>
      </c>
      <c r="B22" s="85" t="str">
        <f>+'S&amp;D'!B27</f>
        <v>SKYW</v>
      </c>
      <c r="C22" s="55">
        <f>+'S&amp;D'!G27</f>
        <v>100.41</v>
      </c>
      <c r="D22" s="57">
        <v>20.25</v>
      </c>
      <c r="E22" s="65">
        <f t="shared" si="1"/>
        <v>4.9585185185185185</v>
      </c>
      <c r="F22" s="52">
        <f t="shared" si="2"/>
        <v>0.20167314012548551</v>
      </c>
      <c r="G22" s="52"/>
      <c r="H22" s="85" t="str">
        <f t="shared" si="3"/>
        <v>SKYW</v>
      </c>
      <c r="I22" s="55">
        <f t="shared" si="4"/>
        <v>100.41</v>
      </c>
      <c r="J22" s="57">
        <v>21.25</v>
      </c>
      <c r="K22" s="57"/>
      <c r="L22" s="65">
        <f t="shared" si="5"/>
        <v>4.7251764705882353</v>
      </c>
      <c r="M22" s="52">
        <f t="shared" si="6"/>
        <v>0.21163230753908974</v>
      </c>
      <c r="N22" s="10"/>
    </row>
    <row r="23" spans="1:14" ht="17.25">
      <c r="A23" s="58" t="str">
        <f>+'S&amp;D'!A28</f>
        <v xml:space="preserve">Southwest Airlines </v>
      </c>
      <c r="B23" s="85" t="str">
        <f>+'S&amp;D'!B28</f>
        <v>LUV</v>
      </c>
      <c r="C23" s="55">
        <f>+'S&amp;D'!G28</f>
        <v>41.33</v>
      </c>
      <c r="D23" s="57">
        <v>4.25</v>
      </c>
      <c r="E23" s="65">
        <f t="shared" si="1"/>
        <v>9.7247058823529411</v>
      </c>
      <c r="F23" s="52">
        <f t="shared" si="2"/>
        <v>0.1028308734575369</v>
      </c>
      <c r="G23" s="52"/>
      <c r="H23" s="85" t="str">
        <f t="shared" si="3"/>
        <v>LUV</v>
      </c>
      <c r="I23" s="55">
        <f t="shared" si="4"/>
        <v>41.33</v>
      </c>
      <c r="J23" s="57">
        <v>6.3</v>
      </c>
      <c r="K23" s="57"/>
      <c r="L23" s="65">
        <f t="shared" si="5"/>
        <v>6.5603174603174601</v>
      </c>
      <c r="M23" s="52">
        <f t="shared" si="6"/>
        <v>0.1524316477135253</v>
      </c>
      <c r="N23" s="10"/>
    </row>
    <row r="24" spans="1:14" ht="17.25">
      <c r="A24" s="58" t="str">
        <f>+'S&amp;D'!A29</f>
        <v>United Airlines Holdings Inc</v>
      </c>
      <c r="B24" s="85" t="str">
        <f>+'S&amp;D'!B29</f>
        <v>UAL</v>
      </c>
      <c r="C24" s="55">
        <f>+'S&amp;D'!G29</f>
        <v>111.82</v>
      </c>
      <c r="D24" s="57">
        <v>22.4</v>
      </c>
      <c r="E24" s="65">
        <f t="shared" si="1"/>
        <v>4.9919642857142854</v>
      </c>
      <c r="F24" s="52">
        <f t="shared" si="2"/>
        <v>0.20032194598461814</v>
      </c>
      <c r="G24" s="52"/>
      <c r="H24" s="85" t="str">
        <f t="shared" si="3"/>
        <v>UAL</v>
      </c>
      <c r="I24" s="55">
        <f t="shared" si="4"/>
        <v>111.82</v>
      </c>
      <c r="J24" s="57">
        <v>25.3</v>
      </c>
      <c r="K24" s="57"/>
      <c r="L24" s="65">
        <f t="shared" si="5"/>
        <v>4.4197628458498022</v>
      </c>
      <c r="M24" s="52">
        <f t="shared" si="6"/>
        <v>0.22625648363441245</v>
      </c>
      <c r="N24" s="10"/>
    </row>
    <row r="25" spans="1:14" ht="17.25" thickBot="1">
      <c r="A25" s="10"/>
      <c r="B25" s="66"/>
      <c r="C25" s="66"/>
      <c r="D25" s="66"/>
      <c r="E25" s="66"/>
      <c r="F25" s="66"/>
      <c r="G25" s="10"/>
      <c r="H25" s="66"/>
      <c r="I25" s="66"/>
      <c r="J25" s="260" t="s">
        <v>0</v>
      </c>
      <c r="K25" s="66"/>
      <c r="L25" s="66"/>
      <c r="M25" s="66"/>
      <c r="N25" s="10"/>
    </row>
    <row r="26" spans="1:14" ht="17.25" thickTop="1">
      <c r="A26" s="10"/>
      <c r="C26" s="12" t="s">
        <v>45</v>
      </c>
      <c r="D26" s="311">
        <f>MAX(D17:D24)</f>
        <v>22.4</v>
      </c>
      <c r="E26" s="311">
        <f>MAX(E17:E24)</f>
        <v>9.7247058823529411</v>
      </c>
      <c r="F26" s="310">
        <f>MAX(F17:F24)</f>
        <v>0.35877364644487936</v>
      </c>
      <c r="I26" s="12" t="s">
        <v>45</v>
      </c>
      <c r="J26" s="311">
        <f>MAX(J17:J24)</f>
        <v>25.3</v>
      </c>
      <c r="K26" s="311"/>
      <c r="L26" s="311">
        <f>MAX(L17:L24)</f>
        <v>6.5603174603174601</v>
      </c>
      <c r="M26" s="310">
        <f>MAX(M17:M24)</f>
        <v>0.39791258969341159</v>
      </c>
      <c r="N26" s="10"/>
    </row>
    <row r="27" spans="1:14" ht="16.5">
      <c r="A27" s="10"/>
      <c r="C27" s="275" t="s">
        <v>46</v>
      </c>
      <c r="D27" s="312">
        <f>MIN(D17:D24)</f>
        <v>1.4</v>
      </c>
      <c r="E27" s="312">
        <f>MIN(E17:E24)</f>
        <v>2.7872727272727271</v>
      </c>
      <c r="F27" s="309">
        <f>MIN(F17:F24)</f>
        <v>0.1028308734575369</v>
      </c>
      <c r="I27" s="275" t="s">
        <v>46</v>
      </c>
      <c r="J27" s="312">
        <f>MIN(J17:J24)</f>
        <v>1.65</v>
      </c>
      <c r="K27" s="312"/>
      <c r="L27" s="312">
        <f>MIN(L17:L24)</f>
        <v>2.5131147540983609</v>
      </c>
      <c r="M27" s="309">
        <f>MIN(M17:M24)</f>
        <v>0.1524316477135253</v>
      </c>
      <c r="N27" s="10"/>
    </row>
    <row r="28" spans="1:14" ht="16.5">
      <c r="A28" s="10"/>
      <c r="C28" s="12" t="s">
        <v>18</v>
      </c>
      <c r="D28" s="67"/>
      <c r="E28" s="19">
        <f>MEDIAN(E17:E24)</f>
        <v>4.4799631541442899</v>
      </c>
      <c r="F28" s="52">
        <f>MEDIAN(F17:F24)</f>
        <v>0.22579259211035621</v>
      </c>
      <c r="G28" s="52"/>
      <c r="I28" s="12" t="s">
        <v>18</v>
      </c>
      <c r="J28" s="67">
        <f>MEDIAN(J17:J24)</f>
        <v>14.275</v>
      </c>
      <c r="K28" s="67"/>
      <c r="L28" s="19">
        <f>MEDIAN(L17:L24)</f>
        <v>3.9937726363140227</v>
      </c>
      <c r="M28" s="52">
        <f>MEDIAN(M17:M24)</f>
        <v>0.25327131675563708</v>
      </c>
      <c r="N28" s="10"/>
    </row>
    <row r="29" spans="1:14" ht="16.5">
      <c r="A29" s="10"/>
      <c r="C29" s="12" t="s">
        <v>387</v>
      </c>
      <c r="D29" s="15"/>
      <c r="E29" s="19">
        <f>AVERAGE(E17:E24)</f>
        <v>4.9947731184930344</v>
      </c>
      <c r="F29" s="68">
        <f>AVERAGE(F17:F24)</f>
        <v>0.22895541735063632</v>
      </c>
      <c r="G29" s="68"/>
      <c r="I29" s="12" t="s">
        <v>387</v>
      </c>
      <c r="J29" s="15">
        <f>AVERAGE(J17:J24)</f>
        <v>14.131249999999998</v>
      </c>
      <c r="K29" s="15"/>
      <c r="L29" s="19">
        <f>AVERAGE(L17:L24)</f>
        <v>4.1521700241619381</v>
      </c>
      <c r="M29" s="68">
        <f>AVERAGE(M17:M24)</f>
        <v>0.26626046590715335</v>
      </c>
      <c r="N29" s="10"/>
    </row>
    <row r="30" spans="1:14" ht="16.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26.25">
      <c r="A31" s="10"/>
      <c r="B31" s="10"/>
      <c r="C31" s="10"/>
      <c r="D31" s="72" t="s">
        <v>73</v>
      </c>
      <c r="E31" s="317">
        <v>4.99</v>
      </c>
      <c r="F31" s="318">
        <v>0.22900000000000001</v>
      </c>
      <c r="G31" s="236"/>
      <c r="H31" s="10"/>
      <c r="I31" s="10"/>
      <c r="J31" s="72" t="s">
        <v>73</v>
      </c>
      <c r="K31" s="45"/>
      <c r="L31" s="319">
        <v>4.1500000000000004</v>
      </c>
      <c r="M31" s="318">
        <v>0.26629999999999998</v>
      </c>
      <c r="N31" s="10"/>
    </row>
    <row r="32" spans="1:14" ht="30" customHeight="1" thickBot="1">
      <c r="A32" s="10"/>
      <c r="B32" s="10"/>
      <c r="C32" s="10"/>
      <c r="D32" s="10"/>
      <c r="E32" s="10"/>
      <c r="G32" s="69"/>
      <c r="H32" s="10"/>
      <c r="I32" s="10"/>
      <c r="J32" s="10"/>
      <c r="K32" s="10"/>
      <c r="L32" s="10"/>
      <c r="M32" s="10"/>
      <c r="N32" s="10"/>
    </row>
    <row r="33" spans="1:14" ht="27" thickBot="1">
      <c r="A33" s="70" t="s">
        <v>0</v>
      </c>
      <c r="B33" s="10"/>
      <c r="C33" s="10"/>
      <c r="D33" s="10"/>
      <c r="E33" s="21" t="s">
        <v>118</v>
      </c>
      <c r="F33" s="21"/>
      <c r="G33" s="360">
        <f>(+E31+L31)/2</f>
        <v>4.57</v>
      </c>
      <c r="H33" s="361">
        <f>(+F31+M31)/2</f>
        <v>0.24764999999999998</v>
      </c>
      <c r="K33" s="10"/>
      <c r="N33" s="10"/>
    </row>
    <row r="34" spans="1:14" ht="16.5">
      <c r="A34" s="70" t="s">
        <v>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6.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6.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7.25">
      <c r="A37" s="101" t="s">
        <v>328</v>
      </c>
    </row>
    <row r="38" spans="1:14" ht="17.25">
      <c r="A38" s="101" t="s">
        <v>329</v>
      </c>
    </row>
    <row r="39" spans="1:14" ht="17.25">
      <c r="A39" s="101" t="s">
        <v>330</v>
      </c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61"/>
  <sheetViews>
    <sheetView view="pageBreakPreview" zoomScale="60" zoomScaleNormal="80" workbookViewId="0">
      <selection activeCell="E4" sqref="E4"/>
    </sheetView>
  </sheetViews>
  <sheetFormatPr defaultRowHeight="15"/>
  <cols>
    <col min="1" max="1" width="53.85546875" customWidth="1"/>
    <col min="2" max="2" width="8" customWidth="1"/>
    <col min="3" max="3" width="12.42578125" bestFit="1" customWidth="1"/>
    <col min="4" max="4" width="20.140625" customWidth="1"/>
    <col min="5" max="5" width="18.85546875" customWidth="1"/>
    <col min="6" max="6" width="19" customWidth="1"/>
    <col min="7" max="7" width="16.42578125" customWidth="1"/>
    <col min="8" max="10" width="19.42578125" customWidth="1"/>
    <col min="11" max="12" width="21.5703125" customWidth="1"/>
    <col min="13" max="13" width="18.42578125" customWidth="1"/>
  </cols>
  <sheetData>
    <row r="1" spans="1:15" ht="26.25">
      <c r="A1" s="21" t="s">
        <v>1</v>
      </c>
      <c r="B1" s="2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25">
      <c r="A2" s="58" t="s">
        <v>9</v>
      </c>
      <c r="B2" s="5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6.5">
      <c r="A3" s="23" t="s">
        <v>465</v>
      </c>
      <c r="B3" s="4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6.5">
      <c r="A4" s="10"/>
      <c r="B4" s="10"/>
      <c r="C4" s="10"/>
      <c r="D4" s="10"/>
      <c r="E4" s="503" t="s">
        <v>0</v>
      </c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8" thickBot="1">
      <c r="A5" s="58"/>
      <c r="B5" s="5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21" thickBot="1">
      <c r="A6" s="226" t="str">
        <f>+'S&amp;D'!A12</f>
        <v>Air Passenger Carriers</v>
      </c>
      <c r="B6" s="22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thickBot="1">
      <c r="A7" s="58"/>
      <c r="B7" s="58"/>
      <c r="C7" s="26"/>
      <c r="D7" s="26"/>
      <c r="E7" s="26"/>
      <c r="F7" s="26"/>
      <c r="G7" s="26"/>
      <c r="H7" s="10"/>
      <c r="I7" s="26"/>
      <c r="J7" s="26"/>
      <c r="K7" s="26"/>
      <c r="L7" s="26"/>
      <c r="M7" s="26"/>
      <c r="N7" s="10"/>
      <c r="O7" s="10"/>
    </row>
    <row r="8" spans="1:15" ht="26.25">
      <c r="B8" s="27"/>
      <c r="C8" s="10"/>
      <c r="D8" s="10"/>
      <c r="E8" s="28" t="s">
        <v>222</v>
      </c>
      <c r="F8" s="10"/>
      <c r="G8" s="10"/>
      <c r="H8" s="10"/>
      <c r="I8" s="10"/>
      <c r="J8" s="10"/>
      <c r="K8" s="28" t="s">
        <v>223</v>
      </c>
      <c r="L8" s="10"/>
      <c r="M8" s="10"/>
      <c r="N8" s="10"/>
      <c r="O8" s="10"/>
    </row>
    <row r="9" spans="1:15" ht="21" thickBot="1">
      <c r="A9" s="27"/>
      <c r="B9" s="27"/>
      <c r="C9" s="26"/>
      <c r="D9" s="26"/>
      <c r="E9" s="33" t="s">
        <v>478</v>
      </c>
      <c r="F9" s="26"/>
      <c r="G9" s="26"/>
      <c r="H9" s="10"/>
      <c r="I9" s="26"/>
      <c r="J9" s="26"/>
      <c r="K9" s="33" t="s">
        <v>478</v>
      </c>
      <c r="L9" s="26"/>
      <c r="M9" s="26"/>
      <c r="N9" s="10"/>
      <c r="O9" s="10"/>
    </row>
    <row r="10" spans="1:15" ht="17.25" thickBot="1">
      <c r="A10" s="30" t="s">
        <v>0</v>
      </c>
      <c r="B10" s="30"/>
      <c r="C10" s="30" t="s">
        <v>0</v>
      </c>
      <c r="D10" s="30" t="s">
        <v>0</v>
      </c>
      <c r="E10" s="30" t="s">
        <v>0</v>
      </c>
      <c r="F10" s="30" t="s">
        <v>0</v>
      </c>
      <c r="G10" s="30" t="s">
        <v>0</v>
      </c>
      <c r="H10" s="10"/>
      <c r="I10" s="26"/>
      <c r="J10" s="26"/>
      <c r="K10" s="26"/>
      <c r="L10" s="26"/>
      <c r="M10" s="26"/>
      <c r="N10" s="10"/>
      <c r="O10" s="10"/>
    </row>
    <row r="11" spans="1:15" ht="16.5">
      <c r="A11" s="31" t="s">
        <v>0</v>
      </c>
      <c r="B11" s="31"/>
      <c r="C11" s="31" t="s">
        <v>3</v>
      </c>
      <c r="D11" s="31" t="s">
        <v>322</v>
      </c>
      <c r="E11" s="31" t="s">
        <v>324</v>
      </c>
      <c r="F11" s="31" t="s">
        <v>110</v>
      </c>
      <c r="G11" s="31" t="s">
        <v>26</v>
      </c>
      <c r="H11" s="10"/>
      <c r="I11" s="31" t="s">
        <v>3</v>
      </c>
      <c r="J11" s="31" t="s">
        <v>322</v>
      </c>
      <c r="K11" s="31" t="s">
        <v>324</v>
      </c>
      <c r="L11" s="31" t="s">
        <v>110</v>
      </c>
      <c r="M11" s="31" t="s">
        <v>26</v>
      </c>
      <c r="N11" s="10"/>
      <c r="O11" s="10"/>
    </row>
    <row r="12" spans="1:15" ht="17.25" thickBot="1">
      <c r="A12" s="33" t="s">
        <v>2</v>
      </c>
      <c r="B12" s="33"/>
      <c r="C12" s="33" t="s">
        <v>4</v>
      </c>
      <c r="D12" s="33" t="s">
        <v>27</v>
      </c>
      <c r="E12" s="33" t="s">
        <v>158</v>
      </c>
      <c r="F12" s="33" t="s">
        <v>28</v>
      </c>
      <c r="G12" s="33" t="s">
        <v>29</v>
      </c>
      <c r="H12" s="10"/>
      <c r="I12" s="33" t="s">
        <v>4</v>
      </c>
      <c r="J12" s="33" t="s">
        <v>27</v>
      </c>
      <c r="K12" s="33" t="s">
        <v>158</v>
      </c>
      <c r="L12" s="33" t="s">
        <v>28</v>
      </c>
      <c r="M12" s="33" t="s">
        <v>29</v>
      </c>
      <c r="N12" s="10"/>
      <c r="O12" s="10"/>
    </row>
    <row r="13" spans="1:15" ht="16.5">
      <c r="A13" s="35" t="s">
        <v>0</v>
      </c>
      <c r="B13" s="35"/>
      <c r="C13" s="35" t="s">
        <v>0</v>
      </c>
      <c r="D13" s="36" t="s">
        <v>112</v>
      </c>
      <c r="E13" s="71" t="s">
        <v>113</v>
      </c>
      <c r="F13" s="35" t="s">
        <v>0</v>
      </c>
      <c r="G13" s="35" t="s">
        <v>0</v>
      </c>
      <c r="H13" s="10"/>
      <c r="I13" s="35" t="s">
        <v>0</v>
      </c>
      <c r="J13" s="36" t="s">
        <v>112</v>
      </c>
      <c r="K13" s="71" t="s">
        <v>111</v>
      </c>
      <c r="L13" s="35" t="s">
        <v>0</v>
      </c>
      <c r="M13" s="35" t="s">
        <v>0</v>
      </c>
      <c r="N13" s="10"/>
      <c r="O13" s="10"/>
    </row>
    <row r="14" spans="1:15" ht="16.5">
      <c r="A14" s="31"/>
      <c r="B14" s="31"/>
      <c r="C14" s="31"/>
      <c r="D14" s="31"/>
      <c r="E14" s="31"/>
      <c r="F14" s="31"/>
      <c r="G14" s="31"/>
      <c r="H14" s="10"/>
      <c r="I14" s="31"/>
      <c r="J14" s="31"/>
      <c r="K14" s="31"/>
      <c r="L14" s="31"/>
      <c r="M14" s="31"/>
      <c r="N14" s="10"/>
      <c r="O14" s="10"/>
    </row>
    <row r="15" spans="1:15" ht="16.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7.25">
      <c r="A16" s="58" t="str">
        <f>+'S&amp;D'!A22</f>
        <v xml:space="preserve">Alaska Air </v>
      </c>
      <c r="B16" s="58"/>
      <c r="C16" s="85" t="str">
        <f>+'S&amp;D'!B22</f>
        <v>ALK</v>
      </c>
      <c r="D16" s="55">
        <f>'S&amp;D'!G22</f>
        <v>50.3</v>
      </c>
      <c r="E16" s="57">
        <f>+Earnings!E16</f>
        <v>5.5</v>
      </c>
      <c r="F16" s="65">
        <f>D16/E16</f>
        <v>9.1454545454545446</v>
      </c>
      <c r="G16" s="52">
        <f>1/F16</f>
        <v>0.10934393638170975</v>
      </c>
      <c r="H16" s="10"/>
      <c r="I16" s="31" t="str">
        <f t="shared" ref="I16:J18" si="0">+C16</f>
        <v>ALK</v>
      </c>
      <c r="J16" s="55">
        <f t="shared" si="0"/>
        <v>50.3</v>
      </c>
      <c r="K16" s="57">
        <f>+Earnings!G16</f>
        <v>8.5</v>
      </c>
      <c r="L16" s="65">
        <f>J16/K16</f>
        <v>5.9176470588235288</v>
      </c>
      <c r="M16" s="52">
        <f>1/L16</f>
        <v>0.16898608349900598</v>
      </c>
      <c r="N16" s="10"/>
      <c r="O16" s="10"/>
    </row>
    <row r="17" spans="1:15" ht="17.25">
      <c r="A17" s="58" t="str">
        <f>+'S&amp;D'!A23</f>
        <v xml:space="preserve">Allegiant Travel Co. </v>
      </c>
      <c r="B17" s="58"/>
      <c r="C17" s="85" t="str">
        <f>+'S&amp;D'!B23</f>
        <v>ALGT</v>
      </c>
      <c r="D17" s="55">
        <f>'S&amp;D'!G23</f>
        <v>85.27</v>
      </c>
      <c r="E17" s="57">
        <f>+Earnings!E17</f>
        <v>7</v>
      </c>
      <c r="F17" s="65">
        <f>D17/E17</f>
        <v>12.181428571428571</v>
      </c>
      <c r="G17" s="52">
        <f>1/F17</f>
        <v>8.2092177788202186E-2</v>
      </c>
      <c r="H17" s="10"/>
      <c r="I17" s="31" t="str">
        <f t="shared" si="0"/>
        <v>ALGT</v>
      </c>
      <c r="J17" s="55">
        <f t="shared" si="0"/>
        <v>85.27</v>
      </c>
      <c r="K17" s="57">
        <f>+Earnings!G17</f>
        <v>9.65</v>
      </c>
      <c r="L17" s="65">
        <f>J17/K17</f>
        <v>8.8362694300518125</v>
      </c>
      <c r="M17" s="52">
        <f>1/L17</f>
        <v>0.1131699308080216</v>
      </c>
      <c r="N17" s="10"/>
      <c r="O17" s="10"/>
    </row>
    <row r="18" spans="1:15" ht="17.25">
      <c r="A18" s="58" t="str">
        <f>+'S&amp;D'!A24</f>
        <v xml:space="preserve">American Airlines </v>
      </c>
      <c r="B18" s="58"/>
      <c r="C18" s="85" t="str">
        <f>+'S&amp;D'!B24</f>
        <v>AAL</v>
      </c>
      <c r="D18" s="55">
        <f>'S&amp;D'!G24</f>
        <v>15.33</v>
      </c>
      <c r="E18" s="57">
        <f>+Earnings!E18</f>
        <v>2.4</v>
      </c>
      <c r="F18" s="65">
        <f>D18/E18</f>
        <v>6.3875000000000002</v>
      </c>
      <c r="G18" s="52">
        <f>1/F18</f>
        <v>0.15655577299412915</v>
      </c>
      <c r="H18" s="10"/>
      <c r="I18" s="31" t="str">
        <f t="shared" si="0"/>
        <v>AAL</v>
      </c>
      <c r="J18" s="55">
        <f t="shared" si="0"/>
        <v>15.33</v>
      </c>
      <c r="K18" s="57">
        <f>+Earnings!G18</f>
        <v>2.9</v>
      </c>
      <c r="L18" s="65">
        <f>J18/K18</f>
        <v>5.2862068965517244</v>
      </c>
      <c r="M18" s="52">
        <f>1/L18</f>
        <v>0.18917155903457272</v>
      </c>
      <c r="N18" s="10"/>
      <c r="O18" s="10"/>
    </row>
    <row r="19" spans="1:15" ht="17.25">
      <c r="A19" s="58" t="str">
        <f>+'S&amp;D'!A25</f>
        <v xml:space="preserve">Delta Air Lines </v>
      </c>
      <c r="B19" s="58"/>
      <c r="C19" s="85" t="str">
        <f>+'S&amp;D'!B25</f>
        <v>DAL</v>
      </c>
      <c r="D19" s="55">
        <f>'S&amp;D'!G25</f>
        <v>69.400000000000006</v>
      </c>
      <c r="E19" s="57">
        <f>+Earnings!E19</f>
        <v>7.3</v>
      </c>
      <c r="F19" s="65">
        <f t="shared" ref="F19:F23" si="1">D19/E19</f>
        <v>9.5068493150684947</v>
      </c>
      <c r="G19" s="52">
        <f t="shared" ref="G19:G23" si="2">1/F19</f>
        <v>0.10518731988472621</v>
      </c>
      <c r="H19" s="10"/>
      <c r="I19" s="31" t="str">
        <f t="shared" ref="I19:I23" si="3">+C19</f>
        <v>DAL</v>
      </c>
      <c r="J19" s="55">
        <f t="shared" ref="J19:J23" si="4">+D19</f>
        <v>69.400000000000006</v>
      </c>
      <c r="K19" s="57">
        <f>+Earnings!G19</f>
        <v>8.4</v>
      </c>
      <c r="L19" s="65">
        <f t="shared" ref="L19:L23" si="5">J19/K19</f>
        <v>8.2619047619047628</v>
      </c>
      <c r="M19" s="52">
        <f t="shared" ref="M19:M23" si="6">1/L19</f>
        <v>0.12103746397694523</v>
      </c>
      <c r="N19" s="10"/>
      <c r="O19" s="10"/>
    </row>
    <row r="20" spans="1:15" ht="17.25">
      <c r="A20" s="58" t="str">
        <f>+'S&amp;D'!A26</f>
        <v xml:space="preserve">JetBlue Airways </v>
      </c>
      <c r="B20" s="58"/>
      <c r="C20" s="85" t="str">
        <f>+'S&amp;D'!B26</f>
        <v>JBLU</v>
      </c>
      <c r="D20" s="55">
        <f>'S&amp;D'!G26</f>
        <v>4.55</v>
      </c>
      <c r="E20" s="57">
        <f>+Earnings!E20</f>
        <v>0.3</v>
      </c>
      <c r="F20" s="65">
        <f t="shared" si="1"/>
        <v>15.166666666666666</v>
      </c>
      <c r="G20" s="52">
        <f t="shared" si="2"/>
        <v>6.5934065934065936E-2</v>
      </c>
      <c r="H20" s="10"/>
      <c r="I20" s="31" t="str">
        <f t="shared" si="3"/>
        <v>JBLU</v>
      </c>
      <c r="J20" s="55">
        <f t="shared" si="4"/>
        <v>4.55</v>
      </c>
      <c r="K20" s="57">
        <f>+Earnings!G20</f>
        <v>0.1</v>
      </c>
      <c r="L20" s="65">
        <f t="shared" si="5"/>
        <v>45.499999999999993</v>
      </c>
      <c r="M20" s="52">
        <f t="shared" si="6"/>
        <v>2.197802197802198E-2</v>
      </c>
      <c r="N20" s="10"/>
      <c r="O20" s="10"/>
    </row>
    <row r="21" spans="1:15" ht="17.25">
      <c r="A21" s="58" t="str">
        <f>+'S&amp;D'!A27</f>
        <v>Skywest Inc</v>
      </c>
      <c r="B21" s="58"/>
      <c r="C21" s="85" t="str">
        <f>+'S&amp;D'!B27</f>
        <v>SKYW</v>
      </c>
      <c r="D21" s="55">
        <f>'S&amp;D'!G27</f>
        <v>100.41</v>
      </c>
      <c r="E21" s="57">
        <f>+Earnings!E21</f>
        <v>11</v>
      </c>
      <c r="F21" s="65">
        <f t="shared" si="1"/>
        <v>9.1281818181818171</v>
      </c>
      <c r="G21" s="52">
        <f t="shared" si="2"/>
        <v>0.10955084154964646</v>
      </c>
      <c r="H21" s="10"/>
      <c r="I21" s="31" t="str">
        <f t="shared" si="3"/>
        <v>SKYW</v>
      </c>
      <c r="J21" s="55">
        <f t="shared" si="4"/>
        <v>100.41</v>
      </c>
      <c r="K21" s="57">
        <f>+Earnings!G21</f>
        <v>12</v>
      </c>
      <c r="L21" s="65">
        <f t="shared" si="5"/>
        <v>8.3674999999999997</v>
      </c>
      <c r="M21" s="52">
        <f t="shared" si="6"/>
        <v>0.11951000896325067</v>
      </c>
      <c r="N21" s="10"/>
      <c r="O21" s="10"/>
    </row>
    <row r="22" spans="1:15" ht="17.25">
      <c r="A22" s="58" t="str">
        <f>+'S&amp;D'!A28</f>
        <v xml:space="preserve">Southwest Airlines </v>
      </c>
      <c r="B22" s="58"/>
      <c r="C22" s="85" t="str">
        <f>+'S&amp;D'!B28</f>
        <v>LUV</v>
      </c>
      <c r="D22" s="55">
        <f>'S&amp;D'!G28</f>
        <v>41.33</v>
      </c>
      <c r="E22" s="57">
        <f>+Earnings!E22</f>
        <v>4.0999999999999996</v>
      </c>
      <c r="F22" s="65">
        <f t="shared" si="1"/>
        <v>10.080487804878048</v>
      </c>
      <c r="G22" s="52">
        <f t="shared" si="2"/>
        <v>9.9201548511976781E-2</v>
      </c>
      <c r="H22" s="10"/>
      <c r="I22" s="31" t="str">
        <f t="shared" si="3"/>
        <v>LUV</v>
      </c>
      <c r="J22" s="55">
        <f t="shared" si="4"/>
        <v>41.33</v>
      </c>
      <c r="K22" s="57">
        <f>+Earnings!G22</f>
        <v>4.6500000000000004</v>
      </c>
      <c r="L22" s="65">
        <f t="shared" si="5"/>
        <v>8.8881720430107514</v>
      </c>
      <c r="M22" s="52">
        <f t="shared" si="6"/>
        <v>0.11250907331236391</v>
      </c>
      <c r="N22" s="10"/>
      <c r="O22" s="10"/>
    </row>
    <row r="23" spans="1:15" ht="17.25">
      <c r="A23" s="58" t="str">
        <f>+'S&amp;D'!A29</f>
        <v>United Airlines Holdings Inc</v>
      </c>
      <c r="B23" s="58"/>
      <c r="C23" s="85" t="str">
        <f>+'S&amp;D'!B29</f>
        <v>UAL</v>
      </c>
      <c r="D23" s="55">
        <f>'S&amp;D'!G29</f>
        <v>111.82</v>
      </c>
      <c r="E23" s="57">
        <f>+Earnings!E23</f>
        <v>13.35</v>
      </c>
      <c r="F23" s="65">
        <f t="shared" si="1"/>
        <v>8.3760299625468164</v>
      </c>
      <c r="G23" s="52">
        <f t="shared" si="2"/>
        <v>0.11938830262922555</v>
      </c>
      <c r="H23" s="10"/>
      <c r="I23" s="31" t="str">
        <f t="shared" si="3"/>
        <v>UAL</v>
      </c>
      <c r="J23" s="55">
        <f t="shared" si="4"/>
        <v>111.82</v>
      </c>
      <c r="K23" s="57">
        <f>+Earnings!G23</f>
        <v>15.5</v>
      </c>
      <c r="L23" s="65">
        <f t="shared" si="5"/>
        <v>7.2141935483870965</v>
      </c>
      <c r="M23" s="52">
        <f t="shared" si="6"/>
        <v>0.13861563226614201</v>
      </c>
      <c r="N23" s="10"/>
      <c r="O23" s="10"/>
    </row>
    <row r="24" spans="1:15" ht="18" thickBot="1">
      <c r="A24" s="10"/>
      <c r="B24" s="10"/>
      <c r="C24" s="66"/>
      <c r="D24" s="66"/>
      <c r="E24" s="66"/>
      <c r="F24" s="66"/>
      <c r="G24" s="66"/>
      <c r="H24" s="10"/>
      <c r="I24" s="66"/>
      <c r="J24" s="60" t="s">
        <v>0</v>
      </c>
      <c r="K24" s="66"/>
      <c r="L24" s="66"/>
      <c r="M24" s="66"/>
      <c r="N24" s="10"/>
      <c r="O24" s="10"/>
    </row>
    <row r="25" spans="1:15" ht="17.25" thickTop="1">
      <c r="A25" s="10"/>
      <c r="B25" s="10"/>
      <c r="D25" s="12" t="s">
        <v>45</v>
      </c>
      <c r="E25" s="311">
        <f>MAX(E16:E23)</f>
        <v>13.35</v>
      </c>
      <c r="F25" s="311">
        <f>MAX(F16:F23)</f>
        <v>15.166666666666666</v>
      </c>
      <c r="G25" s="310">
        <f>MAX(G16:G23)</f>
        <v>0.15655577299412915</v>
      </c>
      <c r="H25" s="10"/>
      <c r="J25" s="12" t="s">
        <v>45</v>
      </c>
      <c r="K25" s="311">
        <f>MAX(K16:K23)</f>
        <v>15.5</v>
      </c>
      <c r="L25" s="311">
        <f>MAX(L16:L23)</f>
        <v>45.499999999999993</v>
      </c>
      <c r="M25" s="310">
        <f>MAX(M16:M23)</f>
        <v>0.18917155903457272</v>
      </c>
      <c r="N25" s="10"/>
      <c r="O25" s="10"/>
    </row>
    <row r="26" spans="1:15" ht="16.5">
      <c r="A26" s="10"/>
      <c r="B26" s="10"/>
      <c r="D26" s="275" t="s">
        <v>46</v>
      </c>
      <c r="E26" s="312">
        <f>MIN(E16:E23)</f>
        <v>0.3</v>
      </c>
      <c r="F26" s="312">
        <f>MIN(F16:F23)</f>
        <v>6.3875000000000002</v>
      </c>
      <c r="G26" s="309">
        <f>MIN(G16:G23)</f>
        <v>6.5934065934065936E-2</v>
      </c>
      <c r="H26" s="10"/>
      <c r="J26" s="275" t="s">
        <v>46</v>
      </c>
      <c r="K26" s="312">
        <f>MIN(K16:K23)</f>
        <v>0.1</v>
      </c>
      <c r="L26" s="312">
        <f>MIN(L16:L23)</f>
        <v>5.2862068965517244</v>
      </c>
      <c r="M26" s="309">
        <f>MIN(M16:M23)</f>
        <v>2.197802197802198E-2</v>
      </c>
      <c r="N26" s="10"/>
      <c r="O26" s="10"/>
    </row>
    <row r="27" spans="1:15" ht="16.5">
      <c r="A27" s="10"/>
      <c r="B27" s="10"/>
      <c r="D27" s="12" t="s">
        <v>18</v>
      </c>
      <c r="E27" s="67"/>
      <c r="F27" s="19">
        <f>MEDIAN(F16:F23)</f>
        <v>9.3261519302615206</v>
      </c>
      <c r="G27" s="52">
        <f>MEDIAN(G16:G23)</f>
        <v>0.10726562813321798</v>
      </c>
      <c r="H27" s="10"/>
      <c r="J27" s="12" t="s">
        <v>18</v>
      </c>
      <c r="K27" s="67"/>
      <c r="L27" s="19">
        <f>MEDIAN(L16:L23)</f>
        <v>8.3147023809523812</v>
      </c>
      <c r="M27" s="52">
        <f>MEDIAN(M16:M23)</f>
        <v>0.12027373647009795</v>
      </c>
      <c r="N27" s="10"/>
      <c r="O27" s="10"/>
    </row>
    <row r="28" spans="1:15" ht="16.5">
      <c r="A28" s="10"/>
      <c r="B28" s="10"/>
      <c r="D28" s="12" t="s">
        <v>387</v>
      </c>
      <c r="E28" s="15"/>
      <c r="F28" s="19">
        <f>AVERAGE(F16:F23)</f>
        <v>9.9965748355281185</v>
      </c>
      <c r="G28" s="68">
        <f>AVERAGE(G16:G23)</f>
        <v>0.10590674570921024</v>
      </c>
      <c r="H28" s="10"/>
      <c r="J28" s="12" t="s">
        <v>387</v>
      </c>
      <c r="K28" s="15"/>
      <c r="L28" s="19">
        <f>AVERAGE(L16:L23)</f>
        <v>12.283986717341209</v>
      </c>
      <c r="M28" s="68">
        <f>AVERAGE(M16:M23)</f>
        <v>0.12312222172979052</v>
      </c>
      <c r="N28" s="10"/>
      <c r="O28" s="10"/>
    </row>
    <row r="29" spans="1:15" ht="16.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26.25">
      <c r="A30" s="10"/>
      <c r="B30" s="10"/>
      <c r="C30" s="10"/>
      <c r="D30" s="10"/>
      <c r="E30" s="72" t="s">
        <v>73</v>
      </c>
      <c r="F30" s="320">
        <v>10</v>
      </c>
      <c r="G30" s="318">
        <v>0.10589999999999999</v>
      </c>
      <c r="H30" s="10"/>
      <c r="I30" s="10"/>
      <c r="J30" s="10"/>
      <c r="K30" s="72" t="s">
        <v>73</v>
      </c>
      <c r="L30" s="320">
        <v>12.28</v>
      </c>
      <c r="M30" s="318">
        <v>0.1231</v>
      </c>
      <c r="N30" s="10"/>
      <c r="O30" s="10"/>
    </row>
    <row r="31" spans="1:15" ht="16.5">
      <c r="A31" s="10"/>
      <c r="B31" s="10"/>
      <c r="C31" s="10"/>
      <c r="D31" s="10"/>
      <c r="E31" s="10"/>
      <c r="F31" s="10"/>
      <c r="K31" s="10"/>
      <c r="L31" s="10"/>
      <c r="M31" s="10"/>
      <c r="N31" s="10"/>
      <c r="O31" s="10"/>
    </row>
    <row r="32" spans="1:15" ht="30" customHeight="1" thickBot="1">
      <c r="A32" s="10"/>
      <c r="B32" s="10"/>
      <c r="C32" s="10"/>
      <c r="D32" s="10"/>
      <c r="E32" s="10"/>
      <c r="F32" s="10"/>
      <c r="K32" s="10"/>
      <c r="L32" s="10"/>
      <c r="M32" s="10"/>
      <c r="N32" s="10"/>
      <c r="O32" s="10"/>
    </row>
    <row r="33" spans="1:15" ht="27" thickBot="1">
      <c r="A33" s="10"/>
      <c r="B33" s="10"/>
      <c r="C33" s="10"/>
      <c r="D33" s="10"/>
      <c r="E33" s="10"/>
      <c r="F33" s="10"/>
      <c r="G33" s="21" t="s">
        <v>118</v>
      </c>
      <c r="I33" s="358">
        <f>(+F30+L30)/2</f>
        <v>11.14</v>
      </c>
      <c r="J33" s="359">
        <f>(+G30+M30)/2</f>
        <v>0.11449999999999999</v>
      </c>
      <c r="K33" s="10"/>
      <c r="L33" s="10"/>
      <c r="M33" s="10"/>
      <c r="N33" s="10"/>
      <c r="O33" s="10"/>
    </row>
    <row r="34" spans="1:15" ht="30.75" customHeight="1">
      <c r="A34" s="70" t="s">
        <v>0</v>
      </c>
      <c r="B34" s="70"/>
      <c r="C34" s="10"/>
      <c r="D34" s="10"/>
      <c r="E34" s="10"/>
      <c r="N34" s="10"/>
      <c r="O34" s="10"/>
    </row>
    <row r="35" spans="1:15" ht="16.5">
      <c r="A35" s="70" t="s">
        <v>0</v>
      </c>
      <c r="B35" s="7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6.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6.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5.75" thickBot="1">
      <c r="B38" s="137"/>
      <c r="C38" s="137"/>
      <c r="D38" s="137"/>
      <c r="E38" s="137"/>
      <c r="F38" s="137"/>
      <c r="G38" s="137"/>
    </row>
    <row r="39" spans="1:15" ht="26.25">
      <c r="C39" s="10"/>
      <c r="D39" s="10"/>
      <c r="E39" s="28" t="s">
        <v>421</v>
      </c>
      <c r="F39" s="10"/>
      <c r="G39" s="10"/>
    </row>
    <row r="40" spans="1:15" ht="21" thickBot="1">
      <c r="A40" s="27"/>
      <c r="B40" s="137"/>
      <c r="C40" s="26"/>
      <c r="D40" s="26"/>
      <c r="E40" s="33" t="s">
        <v>478</v>
      </c>
      <c r="F40" s="26"/>
      <c r="G40" s="26"/>
    </row>
    <row r="41" spans="1:15" ht="15.75" thickBot="1">
      <c r="A41" s="30" t="s">
        <v>0</v>
      </c>
      <c r="B41" s="137"/>
      <c r="C41" s="30" t="s">
        <v>0</v>
      </c>
      <c r="D41" s="30" t="s">
        <v>0</v>
      </c>
      <c r="E41" s="30" t="s">
        <v>0</v>
      </c>
      <c r="F41" s="30" t="s">
        <v>0</v>
      </c>
      <c r="G41" s="30" t="s">
        <v>0</v>
      </c>
    </row>
    <row r="42" spans="1:15" ht="16.5">
      <c r="A42" s="31" t="s">
        <v>0</v>
      </c>
      <c r="C42" s="31" t="s">
        <v>3</v>
      </c>
      <c r="D42" s="31" t="s">
        <v>322</v>
      </c>
      <c r="E42" s="31" t="s">
        <v>324</v>
      </c>
      <c r="F42" s="31" t="s">
        <v>110</v>
      </c>
      <c r="G42" s="31" t="s">
        <v>26</v>
      </c>
    </row>
    <row r="43" spans="1:15" ht="17.25" thickBot="1">
      <c r="A43" s="33" t="s">
        <v>2</v>
      </c>
      <c r="B43" s="137"/>
      <c r="C43" s="33" t="s">
        <v>4</v>
      </c>
      <c r="D43" s="33" t="s">
        <v>27</v>
      </c>
      <c r="E43" s="33" t="s">
        <v>158</v>
      </c>
      <c r="F43" s="33" t="s">
        <v>28</v>
      </c>
      <c r="G43" s="33" t="s">
        <v>29</v>
      </c>
    </row>
    <row r="44" spans="1:15">
      <c r="A44" s="35" t="s">
        <v>0</v>
      </c>
      <c r="C44" s="35" t="s">
        <v>0</v>
      </c>
      <c r="D44" s="36" t="s">
        <v>112</v>
      </c>
      <c r="E44" s="71" t="s">
        <v>228</v>
      </c>
      <c r="F44" s="35" t="s">
        <v>0</v>
      </c>
      <c r="G44" s="35" t="s">
        <v>0</v>
      </c>
    </row>
    <row r="45" spans="1:15" ht="16.5">
      <c r="A45" s="31"/>
      <c r="C45" s="31"/>
      <c r="D45" s="31"/>
      <c r="E45" s="31"/>
      <c r="F45" s="31"/>
      <c r="G45" s="31"/>
    </row>
    <row r="46" spans="1:15" ht="16.5">
      <c r="A46" s="10"/>
      <c r="C46" s="10"/>
      <c r="D46" s="10"/>
      <c r="E46" s="10"/>
      <c r="F46" s="10"/>
      <c r="G46" s="10"/>
    </row>
    <row r="47" spans="1:15" ht="17.25">
      <c r="A47" s="58" t="str">
        <f>+'S&amp;D'!A22</f>
        <v xml:space="preserve">Alaska Air </v>
      </c>
      <c r="C47" s="85" t="str">
        <f>+'S&amp;D'!B22</f>
        <v>ALK</v>
      </c>
      <c r="D47" s="55">
        <f>'S&amp;D'!G22</f>
        <v>50.3</v>
      </c>
      <c r="E47" s="57">
        <f>+Earnings!I16</f>
        <v>14</v>
      </c>
      <c r="F47" s="65">
        <f>D47/E47</f>
        <v>3.5928571428571425</v>
      </c>
      <c r="G47" s="52">
        <f>1/F47</f>
        <v>0.27833001988071571</v>
      </c>
    </row>
    <row r="48" spans="1:15" ht="17.25">
      <c r="A48" s="58" t="str">
        <f>+'S&amp;D'!A23</f>
        <v xml:space="preserve">Allegiant Travel Co. </v>
      </c>
      <c r="C48" s="85" t="str">
        <f>+'S&amp;D'!B23</f>
        <v>ALGT</v>
      </c>
      <c r="D48" s="55">
        <f>'S&amp;D'!G23</f>
        <v>85.27</v>
      </c>
      <c r="E48" s="57">
        <f>+Earnings!I17</f>
        <v>20.75</v>
      </c>
      <c r="F48" s="65">
        <f>D48/E48</f>
        <v>4.1093975903614455</v>
      </c>
      <c r="G48" s="52">
        <f>1/F48</f>
        <v>0.24334466987217077</v>
      </c>
    </row>
    <row r="49" spans="1:7" ht="17.25">
      <c r="A49" s="58" t="str">
        <f>+'S&amp;D'!A24</f>
        <v xml:space="preserve">American Airlines </v>
      </c>
      <c r="C49" s="85" t="str">
        <f>+'S&amp;D'!B24</f>
        <v>AAL</v>
      </c>
      <c r="D49" s="55">
        <f>'S&amp;D'!G24</f>
        <v>15.33</v>
      </c>
      <c r="E49" s="57">
        <f>+Earnings!I18</f>
        <v>3.8</v>
      </c>
      <c r="F49" s="65">
        <f>D49/E49</f>
        <v>4.0342105263157899</v>
      </c>
      <c r="G49" s="52">
        <f>1/F49</f>
        <v>0.24787997390737115</v>
      </c>
    </row>
    <row r="50" spans="1:7" ht="17.25">
      <c r="A50" s="58" t="str">
        <f>+'S&amp;D'!A25</f>
        <v xml:space="preserve">Delta Air Lines </v>
      </c>
      <c r="C50" s="85" t="str">
        <f>+'S&amp;D'!B25</f>
        <v>DAL</v>
      </c>
      <c r="D50" s="55">
        <f>'S&amp;D'!G25</f>
        <v>69.400000000000006</v>
      </c>
      <c r="E50" s="57">
        <f>+Earnings!I19</f>
        <v>9.5</v>
      </c>
      <c r="F50" s="65">
        <f t="shared" ref="F50:F54" si="7">D50/E50</f>
        <v>7.3052631578947373</v>
      </c>
      <c r="G50" s="52">
        <f t="shared" ref="G50:G54" si="8">1/F50</f>
        <v>0.13688760806916425</v>
      </c>
    </row>
    <row r="51" spans="1:7" ht="17.25">
      <c r="A51" s="58" t="str">
        <f>+'S&amp;D'!A26</f>
        <v xml:space="preserve">JetBlue Airways </v>
      </c>
      <c r="C51" s="85" t="str">
        <f>+'S&amp;D'!B26</f>
        <v>JBLU</v>
      </c>
      <c r="D51" s="55">
        <f>'S&amp;D'!G26</f>
        <v>4.55</v>
      </c>
      <c r="E51" s="57">
        <f>+Earnings!I20</f>
        <v>1.5</v>
      </c>
      <c r="F51" s="65">
        <f t="shared" si="7"/>
        <v>3.0333333333333332</v>
      </c>
      <c r="G51" s="52">
        <f t="shared" si="8"/>
        <v>0.32967032967032966</v>
      </c>
    </row>
    <row r="52" spans="1:7" ht="17.25">
      <c r="A52" s="58" t="str">
        <f>+'S&amp;D'!A27</f>
        <v>Skywest Inc</v>
      </c>
      <c r="C52" s="85" t="str">
        <f>+'S&amp;D'!B27</f>
        <v>SKYW</v>
      </c>
      <c r="D52" s="55">
        <f>'S&amp;D'!G27</f>
        <v>100.41</v>
      </c>
      <c r="E52" s="57">
        <f>+Earnings!I21</f>
        <v>15</v>
      </c>
      <c r="F52" s="65">
        <f t="shared" si="7"/>
        <v>6.694</v>
      </c>
      <c r="G52" s="52">
        <f t="shared" si="8"/>
        <v>0.14938751120406335</v>
      </c>
    </row>
    <row r="53" spans="1:7" ht="17.25">
      <c r="A53" s="58" t="str">
        <f>+'S&amp;D'!A28</f>
        <v xml:space="preserve">Southwest Airlines </v>
      </c>
      <c r="C53" s="85" t="str">
        <f>+'S&amp;D'!B28</f>
        <v>LUV</v>
      </c>
      <c r="D53" s="55">
        <f>'S&amp;D'!G28</f>
        <v>41.33</v>
      </c>
      <c r="E53" s="57">
        <f>+Earnings!I22</f>
        <v>3.75</v>
      </c>
      <c r="F53" s="65">
        <f t="shared" si="7"/>
        <v>11.021333333333333</v>
      </c>
      <c r="G53" s="52">
        <f t="shared" si="8"/>
        <v>9.0733123639003155E-2</v>
      </c>
    </row>
    <row r="54" spans="1:7" ht="17.25">
      <c r="A54" s="58" t="str">
        <f>+'S&amp;D'!A29</f>
        <v>United Airlines Holdings Inc</v>
      </c>
      <c r="C54" s="85" t="str">
        <f>+'S&amp;D'!B29</f>
        <v>UAL</v>
      </c>
      <c r="D54" s="55">
        <f>'S&amp;D'!G29</f>
        <v>111.82</v>
      </c>
      <c r="E54" s="57">
        <f>+Earnings!I23</f>
        <v>16</v>
      </c>
      <c r="F54" s="65">
        <f t="shared" si="7"/>
        <v>6.9887499999999996</v>
      </c>
      <c r="G54" s="52">
        <f t="shared" si="8"/>
        <v>0.14308710427472726</v>
      </c>
    </row>
    <row r="55" spans="1:7" ht="17.25" thickBot="1">
      <c r="A55" s="10"/>
      <c r="D55" s="66"/>
      <c r="E55" s="66"/>
      <c r="F55" s="66"/>
      <c r="G55" s="66"/>
    </row>
    <row r="56" spans="1:7" ht="17.25" thickTop="1">
      <c r="A56" s="10"/>
      <c r="D56" s="12" t="s">
        <v>45</v>
      </c>
      <c r="E56" s="311">
        <f>MAX(E47:E54)</f>
        <v>20.75</v>
      </c>
      <c r="F56" s="311">
        <f>MAX(F47:F54)</f>
        <v>11.021333333333333</v>
      </c>
      <c r="G56" s="310">
        <f>MAX(G47:G54)</f>
        <v>0.32967032967032966</v>
      </c>
    </row>
    <row r="57" spans="1:7" ht="16.5">
      <c r="A57" s="10"/>
      <c r="D57" s="12" t="s">
        <v>46</v>
      </c>
      <c r="E57" s="312">
        <f>MIN(E47:E54)</f>
        <v>1.5</v>
      </c>
      <c r="F57" s="312">
        <f>MIN(F47:F54)</f>
        <v>3.0333333333333332</v>
      </c>
      <c r="G57" s="309">
        <f>MIN(G47:G54)</f>
        <v>9.0733123639003155E-2</v>
      </c>
    </row>
    <row r="58" spans="1:7" ht="16.5">
      <c r="A58" s="10"/>
      <c r="D58" s="12" t="s">
        <v>18</v>
      </c>
      <c r="E58" s="67"/>
      <c r="F58" s="19">
        <f>MEDIAN(F47:F54)</f>
        <v>5.4016987951807227</v>
      </c>
      <c r="G58" s="52">
        <f>MEDIAN(G47:G54)</f>
        <v>0.19636609053811704</v>
      </c>
    </row>
    <row r="59" spans="1:7" ht="16.5">
      <c r="A59" s="10"/>
      <c r="D59" s="12" t="s">
        <v>387</v>
      </c>
      <c r="E59" s="15"/>
      <c r="F59" s="19">
        <f>AVERAGE(F47:F54)</f>
        <v>5.8473931355119717</v>
      </c>
      <c r="G59" s="68">
        <f>AVERAGE(G47:G54)</f>
        <v>0.20241504256469314</v>
      </c>
    </row>
    <row r="60" spans="1:7" ht="16.5">
      <c r="A60" s="10"/>
      <c r="C60" s="10"/>
      <c r="D60" s="10"/>
      <c r="E60" s="10"/>
      <c r="F60" s="10"/>
      <c r="G60" s="10"/>
    </row>
    <row r="61" spans="1:7" ht="26.25">
      <c r="A61" s="10"/>
      <c r="C61" s="10"/>
      <c r="D61" s="10"/>
      <c r="E61" s="72" t="s">
        <v>73</v>
      </c>
      <c r="F61" s="320">
        <v>5.85</v>
      </c>
      <c r="G61" s="318">
        <v>0.2024</v>
      </c>
    </row>
  </sheetData>
  <pageMargins left="0.25" right="0.25" top="0.75" bottom="0.75" header="0.3" footer="0.3"/>
  <pageSetup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43DB-FB14-4CFF-94D4-A767B64921D4}">
  <sheetPr>
    <tabColor rgb="FF92D050"/>
    <pageSetUpPr fitToPage="1"/>
  </sheetPr>
  <dimension ref="A1:J85"/>
  <sheetViews>
    <sheetView view="pageBreakPreview" topLeftCell="A57" zoomScale="60" zoomScaleNormal="80" workbookViewId="0">
      <selection activeCell="A76" sqref="A76"/>
    </sheetView>
  </sheetViews>
  <sheetFormatPr defaultRowHeight="15"/>
  <cols>
    <col min="1" max="1" width="74.5703125" customWidth="1"/>
    <col min="2" max="2" width="21.570312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8" width="13.5703125" customWidth="1"/>
    <col min="9" max="9" width="13.85546875" customWidth="1"/>
    <col min="10" max="11" width="14.140625" bestFit="1" customWidth="1"/>
  </cols>
  <sheetData>
    <row r="1" spans="1:10" ht="26.25">
      <c r="A1" s="21" t="s">
        <v>1</v>
      </c>
      <c r="B1" s="21"/>
      <c r="C1" s="21"/>
      <c r="D1" s="10"/>
      <c r="E1" s="10"/>
      <c r="F1" s="10"/>
      <c r="G1" s="10"/>
      <c r="H1" s="10"/>
      <c r="I1" s="10"/>
      <c r="J1" s="10"/>
    </row>
    <row r="2" spans="1:10" ht="17.25">
      <c r="A2" s="22" t="s">
        <v>9</v>
      </c>
      <c r="B2" s="22"/>
      <c r="C2" s="22"/>
      <c r="D2" s="10"/>
      <c r="E2" s="10"/>
      <c r="F2" s="10"/>
      <c r="G2" s="10"/>
      <c r="H2" s="10"/>
      <c r="I2" s="10"/>
      <c r="J2" s="10"/>
    </row>
    <row r="3" spans="1:10" ht="16.5">
      <c r="A3" s="23" t="s">
        <v>465</v>
      </c>
      <c r="B3" s="23"/>
      <c r="C3" s="23"/>
      <c r="D3" s="10"/>
      <c r="E3" s="10"/>
      <c r="F3" s="10"/>
      <c r="G3" s="10"/>
      <c r="H3" s="10"/>
      <c r="I3" s="10"/>
      <c r="J3" s="10"/>
    </row>
    <row r="4" spans="1:10" ht="16.5">
      <c r="A4" s="23"/>
      <c r="B4" s="23"/>
      <c r="C4" s="23"/>
      <c r="D4" s="10"/>
      <c r="E4" s="10"/>
      <c r="F4" s="10"/>
      <c r="G4" s="10"/>
      <c r="H4" s="10"/>
      <c r="I4" s="10"/>
      <c r="J4" s="10"/>
    </row>
    <row r="5" spans="1:10" ht="17.25" thickBot="1">
      <c r="A5" s="10"/>
      <c r="B5" s="10"/>
      <c r="C5" s="10"/>
      <c r="D5" s="10"/>
      <c r="E5" s="10"/>
      <c r="F5" s="10"/>
      <c r="G5" s="10"/>
      <c r="H5" s="503" t="s">
        <v>0</v>
      </c>
      <c r="I5" s="24"/>
      <c r="J5" s="10"/>
    </row>
    <row r="6" spans="1:10" ht="21" thickBot="1">
      <c r="A6" s="25" t="str">
        <f>+'S&amp;D'!A12</f>
        <v>Air Passenger Carriers</v>
      </c>
      <c r="B6" s="10"/>
      <c r="C6" s="10"/>
      <c r="D6" s="26"/>
      <c r="E6" s="26"/>
      <c r="F6" s="26"/>
      <c r="G6" s="10"/>
      <c r="H6" s="10"/>
      <c r="I6" s="10"/>
      <c r="J6" s="10"/>
    </row>
    <row r="7" spans="1:10" ht="26.25">
      <c r="B7" s="27"/>
      <c r="C7" s="27"/>
      <c r="D7" s="10"/>
      <c r="E7" s="28" t="s">
        <v>199</v>
      </c>
      <c r="F7" s="10"/>
      <c r="G7" s="10"/>
      <c r="H7" s="10"/>
      <c r="I7" s="10"/>
      <c r="J7" s="10"/>
    </row>
    <row r="8" spans="1:10" ht="21" thickBot="1">
      <c r="A8" s="27"/>
      <c r="B8" s="27"/>
      <c r="C8" s="27"/>
      <c r="D8" s="26"/>
      <c r="E8" s="33" t="s">
        <v>478</v>
      </c>
      <c r="F8" s="26"/>
      <c r="G8" s="10"/>
      <c r="H8" s="10"/>
      <c r="I8" s="10"/>
      <c r="J8" s="10"/>
    </row>
    <row r="9" spans="1:10" ht="20.25">
      <c r="A9" s="27"/>
      <c r="B9" s="27"/>
      <c r="C9" s="27"/>
      <c r="D9" s="10"/>
      <c r="E9" s="31"/>
      <c r="F9" s="10"/>
      <c r="G9" s="10"/>
      <c r="H9" s="10"/>
      <c r="I9" s="10"/>
      <c r="J9" s="10"/>
    </row>
    <row r="10" spans="1:10" ht="20.25">
      <c r="A10" s="27"/>
      <c r="B10" s="27"/>
      <c r="H10" s="10"/>
      <c r="I10" s="10"/>
      <c r="J10" s="10"/>
    </row>
    <row r="11" spans="1:10" ht="20.25">
      <c r="A11" s="27"/>
      <c r="B11" s="27"/>
      <c r="H11" s="10"/>
      <c r="I11" s="10"/>
      <c r="J11" s="10"/>
    </row>
    <row r="12" spans="1:10" ht="30" customHeight="1" thickBot="1">
      <c r="A12" s="27"/>
      <c r="B12" s="27"/>
      <c r="C12" t="s">
        <v>0</v>
      </c>
      <c r="H12" s="10"/>
      <c r="I12" s="10"/>
      <c r="J12" s="10"/>
    </row>
    <row r="13" spans="1:10" ht="26.25" customHeight="1" thickBot="1">
      <c r="A13" s="146" t="s">
        <v>214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</row>
    <row r="14" spans="1:10" ht="42" customHeight="1" thickBot="1">
      <c r="A14" s="145" t="s">
        <v>212</v>
      </c>
      <c r="B14" s="144" t="s">
        <v>203</v>
      </c>
      <c r="C14" s="143" t="s">
        <v>215</v>
      </c>
      <c r="D14" s="144" t="s">
        <v>205</v>
      </c>
      <c r="E14" s="144" t="s">
        <v>381</v>
      </c>
      <c r="F14" s="142" t="s">
        <v>204</v>
      </c>
      <c r="G14" s="10"/>
      <c r="H14" s="10"/>
      <c r="I14" s="10"/>
      <c r="J14" s="10"/>
    </row>
    <row r="15" spans="1:10" ht="16.5">
      <c r="A15" s="139"/>
      <c r="B15" s="104"/>
      <c r="C15" s="104"/>
      <c r="D15" s="104"/>
      <c r="E15" s="104"/>
      <c r="F15" s="140"/>
      <c r="G15" s="10"/>
      <c r="H15" s="10"/>
      <c r="I15" s="10"/>
      <c r="J15" s="10"/>
    </row>
    <row r="16" spans="1:10" ht="17.25">
      <c r="A16" s="168" t="s">
        <v>456</v>
      </c>
      <c r="B16" s="180">
        <v>2.9399999999999999E-2</v>
      </c>
      <c r="C16" s="177">
        <f>+'Beta for CAPM'!H32</f>
        <v>1.46</v>
      </c>
      <c r="D16" s="169">
        <f>+B16*C16</f>
        <v>4.2923999999999997E-2</v>
      </c>
      <c r="E16" s="169">
        <f>+'Growth &amp; Inflation Rates'!$G$24</f>
        <v>4.8099999999999997E-2</v>
      </c>
      <c r="F16" s="170">
        <f>+D16+E16</f>
        <v>9.1023999999999994E-2</v>
      </c>
      <c r="G16" s="10"/>
      <c r="H16" s="10"/>
      <c r="I16" s="10"/>
      <c r="J16" s="10"/>
    </row>
    <row r="17" spans="1:10" ht="17.25">
      <c r="A17" s="168" t="s">
        <v>457</v>
      </c>
      <c r="B17" s="180">
        <v>2.98E-2</v>
      </c>
      <c r="C17" s="177">
        <f>+C16</f>
        <v>1.46</v>
      </c>
      <c r="D17" s="169">
        <f>+B17*C17</f>
        <v>4.3507999999999998E-2</v>
      </c>
      <c r="E17" s="169">
        <f>+'Growth &amp; Inflation Rates'!$G$24</f>
        <v>4.8099999999999997E-2</v>
      </c>
      <c r="F17" s="170">
        <f>+D17+E17</f>
        <v>9.1607999999999995E-2</v>
      </c>
      <c r="G17" s="10"/>
      <c r="H17" s="10"/>
      <c r="I17" s="10"/>
      <c r="J17" s="10"/>
    </row>
    <row r="18" spans="1:10" ht="17.25">
      <c r="A18" s="171"/>
      <c r="B18" s="101"/>
      <c r="C18" s="101"/>
      <c r="D18" s="101"/>
      <c r="E18" s="101"/>
      <c r="F18" s="172"/>
      <c r="G18" s="10"/>
      <c r="H18" s="10"/>
      <c r="I18" s="10"/>
      <c r="J18" s="10"/>
    </row>
    <row r="19" spans="1:10" ht="17.25">
      <c r="A19" s="168" t="s">
        <v>394</v>
      </c>
      <c r="B19" s="180">
        <v>4.2299999999999997E-2</v>
      </c>
      <c r="C19" s="177">
        <f>+C16</f>
        <v>1.46</v>
      </c>
      <c r="D19" s="169">
        <f>+B19*C19</f>
        <v>6.1757999999999993E-2</v>
      </c>
      <c r="E19" s="169">
        <f>+'Growth &amp; Inflation Rates'!$G$24</f>
        <v>4.8099999999999997E-2</v>
      </c>
      <c r="F19" s="170">
        <f>+D19+E19</f>
        <v>0.10985799999999998</v>
      </c>
      <c r="G19" s="10"/>
      <c r="H19" s="10"/>
      <c r="I19" s="10"/>
      <c r="J19" s="10"/>
    </row>
    <row r="20" spans="1:10" ht="17.25">
      <c r="A20" s="168" t="s">
        <v>412</v>
      </c>
      <c r="B20" s="180">
        <v>6.1800000000000001E-2</v>
      </c>
      <c r="C20" s="177">
        <f>+C16</f>
        <v>1.46</v>
      </c>
      <c r="D20" s="169">
        <f>+B20*C20</f>
        <v>9.0228000000000003E-2</v>
      </c>
      <c r="E20" s="169">
        <f>+'Growth &amp; Inflation Rates'!$G$24</f>
        <v>4.8099999999999997E-2</v>
      </c>
      <c r="F20" s="170">
        <f>+D20+E20</f>
        <v>0.13832800000000001</v>
      </c>
      <c r="G20" s="10"/>
      <c r="H20" s="10"/>
      <c r="I20" s="10"/>
      <c r="J20" s="10"/>
    </row>
    <row r="21" spans="1:10" ht="17.25">
      <c r="A21" s="168" t="s">
        <v>395</v>
      </c>
      <c r="B21" s="180">
        <v>3.9600000000000003E-2</v>
      </c>
      <c r="C21" s="177">
        <f>+C16</f>
        <v>1.46</v>
      </c>
      <c r="D21" s="169">
        <f>+B21*C21</f>
        <v>5.7816000000000006E-2</v>
      </c>
      <c r="E21" s="169">
        <f>+'Growth &amp; Inflation Rates'!$G$24</f>
        <v>4.8099999999999997E-2</v>
      </c>
      <c r="F21" s="170">
        <f>+D21+E21</f>
        <v>0.10591600000000001</v>
      </c>
      <c r="G21" s="10"/>
      <c r="H21" s="10"/>
      <c r="I21" s="10"/>
      <c r="J21" s="10"/>
    </row>
    <row r="22" spans="1:10" ht="17.25">
      <c r="A22" s="168" t="s">
        <v>396</v>
      </c>
      <c r="B22" s="180">
        <v>3.6200000000000003E-2</v>
      </c>
      <c r="C22" s="177">
        <f>+C16</f>
        <v>1.46</v>
      </c>
      <c r="D22" s="169">
        <f>+B22*C22</f>
        <v>5.2852000000000003E-2</v>
      </c>
      <c r="E22" s="169">
        <f>+'Growth &amp; Inflation Rates'!$G$24</f>
        <v>4.8099999999999997E-2</v>
      </c>
      <c r="F22" s="170">
        <f>+D22+E22</f>
        <v>0.100952</v>
      </c>
      <c r="G22" s="10"/>
      <c r="H22" s="10"/>
      <c r="I22" s="10"/>
      <c r="J22" s="10"/>
    </row>
    <row r="23" spans="1:10" ht="17.25">
      <c r="A23" s="168" t="s">
        <v>0</v>
      </c>
      <c r="B23" s="180"/>
      <c r="C23" s="178" t="s">
        <v>0</v>
      </c>
      <c r="D23" s="169" t="s">
        <v>0</v>
      </c>
      <c r="E23" s="169" t="s">
        <v>0</v>
      </c>
      <c r="F23" s="170" t="s">
        <v>0</v>
      </c>
      <c r="G23" s="10"/>
      <c r="H23" s="10"/>
      <c r="I23" s="10"/>
      <c r="J23" s="10"/>
    </row>
    <row r="24" spans="1:10" ht="17.25">
      <c r="A24" s="168" t="s">
        <v>208</v>
      </c>
      <c r="B24" s="180">
        <v>5.6099999999999997E-2</v>
      </c>
      <c r="C24" s="177">
        <f>+C16</f>
        <v>1.46</v>
      </c>
      <c r="D24" s="169">
        <f>+B24*C24</f>
        <v>8.1905999999999993E-2</v>
      </c>
      <c r="E24" s="169">
        <f>+'Growth &amp; Inflation Rates'!$G$24</f>
        <v>4.8099999999999997E-2</v>
      </c>
      <c r="F24" s="170">
        <f>+D24+E24</f>
        <v>0.13000599999999998</v>
      </c>
      <c r="G24" s="10"/>
      <c r="H24" s="10"/>
      <c r="I24" s="10"/>
      <c r="J24" s="10"/>
    </row>
    <row r="25" spans="1:10" ht="17.25">
      <c r="A25" s="168" t="s">
        <v>0</v>
      </c>
      <c r="B25" s="180"/>
      <c r="C25" s="178" t="s">
        <v>0</v>
      </c>
      <c r="D25" s="169" t="s">
        <v>0</v>
      </c>
      <c r="E25" s="169" t="s">
        <v>0</v>
      </c>
      <c r="F25" s="170" t="s">
        <v>0</v>
      </c>
      <c r="G25" s="10"/>
      <c r="H25" s="10"/>
      <c r="I25" s="10"/>
      <c r="J25" s="10"/>
    </row>
    <row r="26" spans="1:10" ht="17.25">
      <c r="A26" s="168" t="s">
        <v>413</v>
      </c>
      <c r="B26" s="180">
        <v>5.5E-2</v>
      </c>
      <c r="C26" s="177">
        <f>+C16</f>
        <v>1.46</v>
      </c>
      <c r="D26" s="169">
        <f>+B26*C26</f>
        <v>8.0299999999999996E-2</v>
      </c>
      <c r="E26" s="169">
        <f>+'Growth &amp; Inflation Rates'!$G$24</f>
        <v>4.8099999999999997E-2</v>
      </c>
      <c r="F26" s="170">
        <f>+D26+E26</f>
        <v>0.12839999999999999</v>
      </c>
      <c r="G26" s="10"/>
      <c r="H26" s="10"/>
      <c r="I26" s="10"/>
      <c r="J26" s="10"/>
    </row>
    <row r="27" spans="1:10" ht="17.25">
      <c r="A27" s="168" t="s">
        <v>0</v>
      </c>
      <c r="B27" s="180"/>
      <c r="C27" s="178" t="s">
        <v>0</v>
      </c>
      <c r="D27" s="169" t="s">
        <v>0</v>
      </c>
      <c r="E27" s="169" t="s">
        <v>0</v>
      </c>
      <c r="F27" s="170" t="s">
        <v>0</v>
      </c>
      <c r="G27" s="10"/>
      <c r="H27" s="10"/>
      <c r="I27" s="10"/>
      <c r="J27" s="10"/>
    </row>
    <row r="28" spans="1:10" ht="17.25">
      <c r="A28" s="168" t="s">
        <v>209</v>
      </c>
      <c r="B28" s="180">
        <v>6.7799999999999999E-2</v>
      </c>
      <c r="C28" s="177">
        <f>+C16</f>
        <v>1.46</v>
      </c>
      <c r="D28" s="169">
        <f>+B28*C28</f>
        <v>9.8987999999999993E-2</v>
      </c>
      <c r="E28" s="169">
        <f>+'Growth &amp; Inflation Rates'!$G$24</f>
        <v>4.8099999999999997E-2</v>
      </c>
      <c r="F28" s="170">
        <f>+D28+E28</f>
        <v>0.147088</v>
      </c>
      <c r="G28" s="10"/>
      <c r="H28" s="10"/>
      <c r="I28" s="10"/>
      <c r="J28" s="10"/>
    </row>
    <row r="29" spans="1:10" ht="17.25">
      <c r="A29" s="168" t="s">
        <v>210</v>
      </c>
      <c r="B29" s="180">
        <v>5.5399999999999998E-2</v>
      </c>
      <c r="C29" s="177">
        <f>+C16</f>
        <v>1.46</v>
      </c>
      <c r="D29" s="169">
        <f>+B29*C29</f>
        <v>8.0883999999999998E-2</v>
      </c>
      <c r="E29" s="169">
        <f>+'Growth &amp; Inflation Rates'!$G$24</f>
        <v>4.8099999999999997E-2</v>
      </c>
      <c r="F29" s="170">
        <f>+D29+E29</f>
        <v>0.12898399999999999</v>
      </c>
      <c r="G29" s="10"/>
      <c r="H29" s="10"/>
      <c r="I29" s="10"/>
      <c r="J29" s="10"/>
    </row>
    <row r="30" spans="1:10" ht="17.25">
      <c r="A30" s="168"/>
      <c r="B30" s="180"/>
      <c r="C30" s="177"/>
      <c r="D30" s="169"/>
      <c r="E30" s="169"/>
      <c r="F30" s="170"/>
      <c r="G30" s="10"/>
      <c r="H30" s="10"/>
      <c r="I30" s="10"/>
      <c r="J30" s="10"/>
    </row>
    <row r="31" spans="1:10" ht="17.25">
      <c r="A31" s="168" t="s">
        <v>397</v>
      </c>
      <c r="B31" s="180">
        <v>7.3700000000000002E-2</v>
      </c>
      <c r="C31" s="177">
        <f>+C16</f>
        <v>1.46</v>
      </c>
      <c r="D31" s="169">
        <f>+B31*C31</f>
        <v>0.107602</v>
      </c>
      <c r="E31" s="169">
        <f>+'Growth &amp; Inflation Rates'!$G$24</f>
        <v>4.8099999999999997E-2</v>
      </c>
      <c r="F31" s="170">
        <f>+D31+E31</f>
        <v>0.15570200000000001</v>
      </c>
      <c r="G31" s="10"/>
      <c r="H31" s="10"/>
      <c r="I31" s="10"/>
      <c r="J31" s="10"/>
    </row>
    <row r="32" spans="1:10" ht="17.25">
      <c r="A32" s="168" t="s">
        <v>398</v>
      </c>
      <c r="B32" s="180">
        <v>6.3100000000000003E-2</v>
      </c>
      <c r="C32" s="177">
        <f>+C17</f>
        <v>1.46</v>
      </c>
      <c r="D32" s="169">
        <f>+B32*C32</f>
        <v>9.2126E-2</v>
      </c>
      <c r="E32" s="169">
        <f>+'Growth &amp; Inflation Rates'!$G$24</f>
        <v>4.8099999999999997E-2</v>
      </c>
      <c r="F32" s="170">
        <f>+D32+E32</f>
        <v>0.14022599999999999</v>
      </c>
      <c r="G32" s="10"/>
      <c r="H32" s="10"/>
      <c r="I32" s="10"/>
      <c r="J32" s="10"/>
    </row>
    <row r="33" spans="1:10" ht="17.25">
      <c r="A33" s="168" t="s">
        <v>399</v>
      </c>
      <c r="B33" s="180">
        <v>0.05</v>
      </c>
      <c r="C33" s="177">
        <f>+C16</f>
        <v>1.46</v>
      </c>
      <c r="D33" s="169">
        <f>+B33*C33</f>
        <v>7.2999999999999995E-2</v>
      </c>
      <c r="E33" s="169">
        <f>+'Growth &amp; Inflation Rates'!$G$24</f>
        <v>4.8099999999999997E-2</v>
      </c>
      <c r="F33" s="170">
        <f>+D33+E33</f>
        <v>0.12109999999999999</v>
      </c>
      <c r="G33" s="10"/>
      <c r="H33" s="10"/>
      <c r="I33" s="10"/>
      <c r="J33" s="10"/>
    </row>
    <row r="34" spans="1:10" ht="17.25">
      <c r="A34" s="168"/>
      <c r="B34" s="180"/>
      <c r="C34" s="177"/>
      <c r="D34" s="169"/>
      <c r="E34" s="169"/>
      <c r="F34" s="170"/>
      <c r="G34" s="10"/>
      <c r="H34" s="10"/>
      <c r="I34" s="10"/>
      <c r="J34" s="10"/>
    </row>
    <row r="35" spans="1:10" ht="17.25">
      <c r="A35" s="371" t="s">
        <v>0</v>
      </c>
      <c r="B35" s="372" t="s">
        <v>0</v>
      </c>
      <c r="C35" s="177" t="s">
        <v>0</v>
      </c>
      <c r="D35" s="169" t="s">
        <v>0</v>
      </c>
      <c r="E35" s="169" t="s">
        <v>0</v>
      </c>
      <c r="F35" s="170" t="s">
        <v>0</v>
      </c>
      <c r="G35" s="10"/>
      <c r="H35" s="10"/>
      <c r="I35" s="10"/>
      <c r="J35" s="10"/>
    </row>
    <row r="36" spans="1:10" ht="17.25" thickBot="1">
      <c r="A36" s="350"/>
      <c r="B36" s="26"/>
      <c r="C36" s="26"/>
      <c r="D36" s="26"/>
      <c r="E36" s="26"/>
      <c r="F36" s="351"/>
      <c r="G36" s="10"/>
      <c r="H36" s="10"/>
      <c r="I36" s="10"/>
      <c r="J36" s="10"/>
    </row>
    <row r="37" spans="1:10" ht="16.5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ht="27" customHeight="1" thickBot="1">
      <c r="A38" s="10"/>
      <c r="B38" s="10"/>
      <c r="C38" s="10"/>
      <c r="D38" s="10"/>
      <c r="E38" s="10"/>
      <c r="F38" s="10"/>
      <c r="G38" s="10" t="s">
        <v>0</v>
      </c>
      <c r="H38" s="10"/>
      <c r="I38" s="10"/>
      <c r="J38" s="10"/>
    </row>
    <row r="39" spans="1:10" ht="18" thickBot="1">
      <c r="A39" s="146" t="s">
        <v>213</v>
      </c>
      <c r="B39" s="10"/>
      <c r="C39" s="10"/>
      <c r="D39" s="10"/>
      <c r="E39" s="10"/>
      <c r="F39" s="10"/>
      <c r="G39" s="10"/>
      <c r="H39" s="10"/>
      <c r="I39" s="10"/>
      <c r="J39" s="10"/>
    </row>
    <row r="40" spans="1:10" ht="41.25" thickBot="1">
      <c r="A40" s="145" t="s">
        <v>211</v>
      </c>
      <c r="B40" s="144" t="s">
        <v>203</v>
      </c>
      <c r="C40" s="143" t="s">
        <v>215</v>
      </c>
      <c r="D40" s="144" t="s">
        <v>206</v>
      </c>
      <c r="E40" s="144" t="s">
        <v>207</v>
      </c>
      <c r="F40" s="144" t="s">
        <v>381</v>
      </c>
      <c r="G40" s="142" t="s">
        <v>204</v>
      </c>
      <c r="H40" s="10"/>
      <c r="I40" s="10"/>
      <c r="J40" s="10"/>
    </row>
    <row r="41" spans="1:10" ht="16.5">
      <c r="A41" s="139"/>
      <c r="B41" s="104"/>
      <c r="C41" s="104"/>
      <c r="D41" s="104"/>
      <c r="E41" s="104"/>
      <c r="F41" s="104"/>
      <c r="G41" s="140"/>
      <c r="H41" s="10"/>
      <c r="I41" s="10"/>
      <c r="J41" s="10"/>
    </row>
    <row r="42" spans="1:10" ht="17.25">
      <c r="A42" s="168" t="s">
        <v>456</v>
      </c>
      <c r="B42" s="180">
        <f>+B16</f>
        <v>2.9399999999999999E-2</v>
      </c>
      <c r="C42" s="176">
        <f>+C16</f>
        <v>1.46</v>
      </c>
      <c r="D42" s="169">
        <f>+B42*C42*0.75</f>
        <v>3.2192999999999999E-2</v>
      </c>
      <c r="E42" s="180">
        <f>+B42*0.25</f>
        <v>7.3499999999999998E-3</v>
      </c>
      <c r="F42" s="169">
        <f>+'Growth &amp; Inflation Rates'!$G$24</f>
        <v>4.8099999999999997E-2</v>
      </c>
      <c r="G42" s="170">
        <f>+D42+E42+F42</f>
        <v>8.7642999999999999E-2</v>
      </c>
      <c r="H42" s="10"/>
      <c r="I42" s="10"/>
      <c r="J42" s="10"/>
    </row>
    <row r="43" spans="1:10" ht="17.25">
      <c r="A43" s="168" t="s">
        <v>457</v>
      </c>
      <c r="B43" s="180">
        <f>+B17</f>
        <v>2.98E-2</v>
      </c>
      <c r="C43" s="176">
        <f>+C17</f>
        <v>1.46</v>
      </c>
      <c r="D43" s="169">
        <f>+B43*C43*0.75</f>
        <v>3.2631E-2</v>
      </c>
      <c r="E43" s="180">
        <f>+B43*0.25</f>
        <v>7.45E-3</v>
      </c>
      <c r="F43" s="169">
        <f>+'Growth &amp; Inflation Rates'!$G$24</f>
        <v>4.8099999999999997E-2</v>
      </c>
      <c r="G43" s="170">
        <f>+D43+E43+F43</f>
        <v>8.8180999999999995E-2</v>
      </c>
      <c r="H43" s="10"/>
      <c r="I43" s="10"/>
      <c r="J43" s="10"/>
    </row>
    <row r="44" spans="1:10" ht="17.25">
      <c r="A44" s="171"/>
      <c r="B44" s="101"/>
      <c r="C44" s="101"/>
      <c r="D44" s="101"/>
      <c r="E44" s="101"/>
      <c r="F44" s="101"/>
      <c r="G44" s="172"/>
      <c r="H44" s="10"/>
      <c r="I44" s="10"/>
      <c r="J44" s="10"/>
    </row>
    <row r="45" spans="1:10" ht="17.25">
      <c r="A45" s="168" t="str">
        <f t="shared" ref="A45:C46" si="0">+A19</f>
        <v>Damodaran Implied ERP Ex Ante   Trailing 12 mo Cash Yield (3)</v>
      </c>
      <c r="B45" s="180">
        <f t="shared" si="0"/>
        <v>4.2299999999999997E-2</v>
      </c>
      <c r="C45" s="176">
        <f t="shared" si="0"/>
        <v>1.46</v>
      </c>
      <c r="D45" s="169">
        <f>+B45*C45*0.75</f>
        <v>4.6318499999999999E-2</v>
      </c>
      <c r="E45" s="180">
        <f>+B45*0.25</f>
        <v>1.0574999999999999E-2</v>
      </c>
      <c r="F45" s="169">
        <f>+'Growth &amp; Inflation Rates'!$G$24</f>
        <v>4.8099999999999997E-2</v>
      </c>
      <c r="G45" s="170">
        <f>+D45+E45+F45</f>
        <v>0.10499349999999999</v>
      </c>
      <c r="H45" s="10"/>
      <c r="I45" s="10"/>
      <c r="J45" s="10"/>
    </row>
    <row r="46" spans="1:10" ht="17.25">
      <c r="A46" s="168" t="str">
        <f t="shared" si="0"/>
        <v>Damodaran Implied ERP Ex Ante   Avg CF Yield Last 10 Yrs (3)</v>
      </c>
      <c r="B46" s="180">
        <f t="shared" si="0"/>
        <v>6.1800000000000001E-2</v>
      </c>
      <c r="C46" s="176">
        <f t="shared" si="0"/>
        <v>1.46</v>
      </c>
      <c r="D46" s="169">
        <f>+B46*C46*0.75</f>
        <v>6.7671000000000009E-2</v>
      </c>
      <c r="E46" s="180">
        <f>+B46*0.25</f>
        <v>1.545E-2</v>
      </c>
      <c r="F46" s="169">
        <f>+'Growth &amp; Inflation Rates'!$G$24</f>
        <v>4.8099999999999997E-2</v>
      </c>
      <c r="G46" s="170">
        <f>+D46+E46+F46</f>
        <v>0.131221</v>
      </c>
      <c r="H46" s="10"/>
      <c r="I46" s="10"/>
      <c r="J46" s="10"/>
    </row>
    <row r="47" spans="1:10" ht="17.25">
      <c r="A47" s="168" t="str">
        <f t="shared" ref="A47:C48" si="1">+A21</f>
        <v>Damodaran Implied ERP Ex Ante   Net Cash Yield (3)</v>
      </c>
      <c r="B47" s="180">
        <f t="shared" si="1"/>
        <v>3.9600000000000003E-2</v>
      </c>
      <c r="C47" s="176">
        <f t="shared" si="1"/>
        <v>1.46</v>
      </c>
      <c r="D47" s="169">
        <f>+B47*C47*0.75</f>
        <v>4.3362000000000005E-2</v>
      </c>
      <c r="E47" s="180">
        <f>+B47*0.25</f>
        <v>9.9000000000000008E-3</v>
      </c>
      <c r="F47" s="169">
        <f>+'Growth &amp; Inflation Rates'!$G$24</f>
        <v>4.8099999999999997E-2</v>
      </c>
      <c r="G47" s="170">
        <f>+D47+E47+F47</f>
        <v>0.10136200000000001</v>
      </c>
      <c r="H47" s="10"/>
      <c r="I47" s="10"/>
      <c r="J47" s="10"/>
    </row>
    <row r="48" spans="1:10" ht="17.25">
      <c r="A48" s="168" t="str">
        <f t="shared" si="1"/>
        <v>Damodaran Implied ERP Ex Ante   Norm. Earnings &amp; Payout (3)</v>
      </c>
      <c r="B48" s="180">
        <f t="shared" si="1"/>
        <v>3.6200000000000003E-2</v>
      </c>
      <c r="C48" s="176">
        <f t="shared" si="1"/>
        <v>1.46</v>
      </c>
      <c r="D48" s="169">
        <f>+B48*C48*0.75</f>
        <v>3.9639000000000001E-2</v>
      </c>
      <c r="E48" s="180">
        <f>+B48*0.25</f>
        <v>9.0500000000000008E-3</v>
      </c>
      <c r="F48" s="169">
        <f>+'Growth &amp; Inflation Rates'!$G$24</f>
        <v>4.8099999999999997E-2</v>
      </c>
      <c r="G48" s="170">
        <f>+D48+E48+F48</f>
        <v>9.6789E-2</v>
      </c>
      <c r="H48" s="10"/>
      <c r="I48" s="10"/>
      <c r="J48" s="10"/>
    </row>
    <row r="49" spans="1:10" ht="17.25">
      <c r="A49" s="168" t="s">
        <v>0</v>
      </c>
      <c r="B49" s="180" t="s">
        <v>0</v>
      </c>
      <c r="C49" s="169" t="s">
        <v>0</v>
      </c>
      <c r="D49" s="169" t="s">
        <v>0</v>
      </c>
      <c r="E49" s="180" t="s">
        <v>0</v>
      </c>
      <c r="F49" s="169" t="s">
        <v>0</v>
      </c>
      <c r="G49" s="170" t="s">
        <v>0</v>
      </c>
      <c r="H49" s="10"/>
      <c r="I49" s="10"/>
      <c r="J49" s="10"/>
    </row>
    <row r="50" spans="1:10" ht="17.25">
      <c r="A50" s="168" t="s">
        <v>208</v>
      </c>
      <c r="B50" s="180">
        <f>+B24</f>
        <v>5.6099999999999997E-2</v>
      </c>
      <c r="C50" s="176">
        <f>+C24</f>
        <v>1.46</v>
      </c>
      <c r="D50" s="169">
        <f>+B50*C50*0.75</f>
        <v>6.1429499999999998E-2</v>
      </c>
      <c r="E50" s="180">
        <f>+B50*0.25</f>
        <v>1.4024999999999999E-2</v>
      </c>
      <c r="F50" s="169">
        <f>+'Growth &amp; Inflation Rates'!$G$24</f>
        <v>4.8099999999999997E-2</v>
      </c>
      <c r="G50" s="170">
        <f>+D50+E50+F50</f>
        <v>0.12355449999999998</v>
      </c>
    </row>
    <row r="51" spans="1:10" ht="17.25">
      <c r="A51" s="168" t="s">
        <v>0</v>
      </c>
      <c r="B51" s="180" t="s">
        <v>0</v>
      </c>
      <c r="C51" s="169" t="s">
        <v>0</v>
      </c>
      <c r="D51" s="169" t="s">
        <v>0</v>
      </c>
      <c r="E51" s="180" t="s">
        <v>0</v>
      </c>
      <c r="F51" s="169" t="s">
        <v>0</v>
      </c>
      <c r="G51" s="170" t="s">
        <v>0</v>
      </c>
    </row>
    <row r="52" spans="1:10" ht="17.25">
      <c r="A52" s="168" t="s">
        <v>413</v>
      </c>
      <c r="B52" s="180">
        <f>+B26</f>
        <v>5.5E-2</v>
      </c>
      <c r="C52" s="176">
        <f>+C26</f>
        <v>1.46</v>
      </c>
      <c r="D52" s="169">
        <f>+B52*C52*0.75</f>
        <v>6.0225000000000001E-2</v>
      </c>
      <c r="E52" s="180">
        <f>+B52*0.25</f>
        <v>1.375E-2</v>
      </c>
      <c r="F52" s="169">
        <f>+'Growth &amp; Inflation Rates'!$G$24</f>
        <v>4.8099999999999997E-2</v>
      </c>
      <c r="G52" s="170">
        <f>+D52+E52+F52</f>
        <v>0.12207499999999999</v>
      </c>
    </row>
    <row r="53" spans="1:10" ht="17.25">
      <c r="A53" s="168" t="s">
        <v>0</v>
      </c>
      <c r="B53" s="180" t="s">
        <v>0</v>
      </c>
      <c r="C53" s="169" t="s">
        <v>0</v>
      </c>
      <c r="D53" s="169" t="s">
        <v>0</v>
      </c>
      <c r="E53" s="180" t="s">
        <v>0</v>
      </c>
      <c r="F53" s="169" t="s">
        <v>0</v>
      </c>
      <c r="G53" s="170" t="s">
        <v>0</v>
      </c>
    </row>
    <row r="54" spans="1:10" ht="17.25">
      <c r="A54" s="168" t="s">
        <v>209</v>
      </c>
      <c r="B54" s="180">
        <f>+B28</f>
        <v>6.7799999999999999E-2</v>
      </c>
      <c r="C54" s="176">
        <f>+C28</f>
        <v>1.46</v>
      </c>
      <c r="D54" s="169">
        <f>+B54*C54*0.75</f>
        <v>7.4241000000000001E-2</v>
      </c>
      <c r="E54" s="180">
        <f>+B54*0.25</f>
        <v>1.695E-2</v>
      </c>
      <c r="F54" s="169">
        <f>+'Growth &amp; Inflation Rates'!$G$24</f>
        <v>4.8099999999999997E-2</v>
      </c>
      <c r="G54" s="170">
        <f>+D54+E54+F54</f>
        <v>0.139291</v>
      </c>
    </row>
    <row r="55" spans="1:10" ht="17.25">
      <c r="A55" s="168" t="s">
        <v>210</v>
      </c>
      <c r="B55" s="180">
        <f>+B29</f>
        <v>5.5399999999999998E-2</v>
      </c>
      <c r="C55" s="176">
        <f>+C29</f>
        <v>1.46</v>
      </c>
      <c r="D55" s="169">
        <f>+B55*C55*0.75</f>
        <v>6.0662999999999995E-2</v>
      </c>
      <c r="E55" s="180">
        <f>+B55*0.25</f>
        <v>1.3849999999999999E-2</v>
      </c>
      <c r="F55" s="169">
        <f>+'Growth &amp; Inflation Rates'!$G$24</f>
        <v>4.8099999999999997E-2</v>
      </c>
      <c r="G55" s="170">
        <f>+D55+E55+F55</f>
        <v>0.122613</v>
      </c>
    </row>
    <row r="56" spans="1:10" ht="17.25">
      <c r="A56" s="168"/>
      <c r="B56" s="180"/>
      <c r="C56" s="176"/>
      <c r="D56" s="169"/>
      <c r="E56" s="180"/>
      <c r="F56" s="169"/>
      <c r="G56" s="170"/>
    </row>
    <row r="57" spans="1:10" ht="17.25">
      <c r="A57" s="168" t="str">
        <f t="shared" ref="A57:C58" si="2">+A31</f>
        <v>KROLL Ex Post  - ERP Historical (8)</v>
      </c>
      <c r="B57" s="180">
        <f t="shared" si="2"/>
        <v>7.3700000000000002E-2</v>
      </c>
      <c r="C57" s="176">
        <f t="shared" si="2"/>
        <v>1.46</v>
      </c>
      <c r="D57" s="169">
        <f>+B57*C57*0.75</f>
        <v>8.0701500000000009E-2</v>
      </c>
      <c r="E57" s="180">
        <f>+B57*0.25</f>
        <v>1.8425E-2</v>
      </c>
      <c r="F57" s="169">
        <f>+'Growth &amp; Inflation Rates'!$G$24</f>
        <v>4.8099999999999997E-2</v>
      </c>
      <c r="G57" s="170">
        <f>+D57+E57+F57</f>
        <v>0.14722650000000001</v>
      </c>
    </row>
    <row r="58" spans="1:10" ht="17.25">
      <c r="A58" s="168" t="str">
        <f t="shared" si="2"/>
        <v>KROLL Ex Post - ERP Supply Side (8)</v>
      </c>
      <c r="B58" s="180">
        <f t="shared" si="2"/>
        <v>6.3100000000000003E-2</v>
      </c>
      <c r="C58" s="176">
        <f t="shared" si="2"/>
        <v>1.46</v>
      </c>
      <c r="D58" s="169">
        <f>+B58*C58*0.75</f>
        <v>6.9094500000000003E-2</v>
      </c>
      <c r="E58" s="180">
        <f>+B58*0.25</f>
        <v>1.5775000000000001E-2</v>
      </c>
      <c r="F58" s="169">
        <f>+'Growth &amp; Inflation Rates'!$G$24</f>
        <v>4.8099999999999997E-2</v>
      </c>
      <c r="G58" s="170">
        <f>+D58+E58+F58</f>
        <v>0.13296949999999999</v>
      </c>
    </row>
    <row r="59" spans="1:10" ht="17.25">
      <c r="A59" s="168" t="str">
        <f>+A33</f>
        <v>KROLL Ex Ante - ERP Conditional (8)</v>
      </c>
      <c r="B59" s="180">
        <f>+B33</f>
        <v>0.05</v>
      </c>
      <c r="C59" s="176">
        <f>+C29</f>
        <v>1.46</v>
      </c>
      <c r="D59" s="169">
        <f>+B59*C59*0.75</f>
        <v>5.4749999999999993E-2</v>
      </c>
      <c r="E59" s="180">
        <f>+B59*0.25</f>
        <v>1.2500000000000001E-2</v>
      </c>
      <c r="F59" s="169">
        <f>+'Growth &amp; Inflation Rates'!$G$24</f>
        <v>4.8099999999999997E-2</v>
      </c>
      <c r="G59" s="170">
        <f>+D59+E59+F59</f>
        <v>0.11534999999999998</v>
      </c>
    </row>
    <row r="60" spans="1:10" ht="17.25">
      <c r="A60" s="168"/>
      <c r="B60" s="180"/>
      <c r="C60" s="176"/>
      <c r="D60" s="169"/>
      <c r="E60" s="180"/>
      <c r="F60" s="169"/>
      <c r="G60" s="170"/>
    </row>
    <row r="61" spans="1:10" ht="17.25">
      <c r="A61" s="371" t="s">
        <v>0</v>
      </c>
      <c r="B61" s="372" t="s">
        <v>0</v>
      </c>
      <c r="C61" s="176" t="s">
        <v>0</v>
      </c>
      <c r="D61" s="169" t="s">
        <v>0</v>
      </c>
      <c r="E61" s="180" t="s">
        <v>0</v>
      </c>
      <c r="F61" s="169" t="s">
        <v>0</v>
      </c>
      <c r="G61" s="170" t="s">
        <v>0</v>
      </c>
    </row>
    <row r="62" spans="1:10" ht="15.75" thickBot="1">
      <c r="A62" s="256"/>
      <c r="B62" s="137"/>
      <c r="C62" s="137"/>
      <c r="D62" s="137"/>
      <c r="E62" s="137"/>
      <c r="F62" s="137"/>
      <c r="G62" s="257"/>
    </row>
    <row r="64" spans="1:10" ht="17.25">
      <c r="A64" s="58" t="s">
        <v>71</v>
      </c>
      <c r="E64" s="179" t="s">
        <v>0</v>
      </c>
    </row>
    <row r="65" spans="1:7">
      <c r="A65" s="147" t="s">
        <v>0</v>
      </c>
      <c r="E65" s="179" t="s">
        <v>0</v>
      </c>
    </row>
    <row r="66" spans="1:7" ht="16.5">
      <c r="A66" s="475" t="s">
        <v>458</v>
      </c>
      <c r="B66" s="10"/>
      <c r="C66" s="10"/>
      <c r="D66" s="10"/>
      <c r="E66" s="10"/>
      <c r="F66" s="10"/>
      <c r="G66" s="10"/>
    </row>
    <row r="67" spans="1:7" ht="16.5">
      <c r="A67" s="475" t="s">
        <v>459</v>
      </c>
      <c r="B67" s="10"/>
      <c r="C67" s="10"/>
      <c r="D67" s="10"/>
      <c r="E67" s="10"/>
      <c r="F67" s="10"/>
      <c r="G67" s="10"/>
    </row>
    <row r="68" spans="1:7" ht="16.5">
      <c r="A68" s="40" t="s">
        <v>0</v>
      </c>
      <c r="B68" s="10"/>
      <c r="C68" s="10"/>
      <c r="D68" s="10"/>
      <c r="E68" s="10"/>
      <c r="F68" s="10"/>
      <c r="G68" s="10"/>
    </row>
    <row r="69" spans="1:7" ht="16.5">
      <c r="A69" s="40" t="s">
        <v>488</v>
      </c>
      <c r="B69" s="10"/>
      <c r="C69" s="10"/>
      <c r="D69" s="10"/>
      <c r="E69" s="10"/>
      <c r="F69" s="10"/>
      <c r="G69" s="10"/>
    </row>
    <row r="70" spans="1:7" ht="16.5">
      <c r="A70" s="135" t="s">
        <v>390</v>
      </c>
      <c r="C70" s="10"/>
      <c r="D70" s="10"/>
      <c r="E70" s="10"/>
      <c r="F70" s="10"/>
      <c r="G70" s="10"/>
    </row>
    <row r="71" spans="1:7" ht="16.5">
      <c r="A71" s="40" t="s">
        <v>0</v>
      </c>
      <c r="B71" s="10"/>
      <c r="C71" s="10"/>
      <c r="D71" s="10"/>
      <c r="E71" s="10"/>
      <c r="F71" s="10"/>
      <c r="G71" s="10"/>
    </row>
    <row r="72" spans="1:7" ht="16.5">
      <c r="A72" s="40" t="s">
        <v>489</v>
      </c>
      <c r="B72" s="10"/>
      <c r="C72" s="10"/>
      <c r="D72" s="10"/>
      <c r="E72" s="10"/>
      <c r="F72" s="10"/>
      <c r="G72" s="10"/>
    </row>
    <row r="73" spans="1:7" ht="16.5">
      <c r="A73" s="135" t="s">
        <v>391</v>
      </c>
      <c r="B73" s="10"/>
      <c r="C73" s="10"/>
      <c r="D73" s="10"/>
      <c r="E73" s="10"/>
      <c r="F73" s="10"/>
      <c r="G73" s="10"/>
    </row>
    <row r="74" spans="1:7" ht="16.5">
      <c r="A74" s="40"/>
      <c r="B74" s="10"/>
      <c r="C74" s="10"/>
      <c r="D74" s="10"/>
      <c r="E74" s="10"/>
      <c r="F74" s="10"/>
      <c r="G74" s="10"/>
    </row>
    <row r="75" spans="1:7" ht="16.5">
      <c r="A75" s="40" t="s">
        <v>490</v>
      </c>
      <c r="B75" s="10"/>
      <c r="C75" s="10"/>
      <c r="D75" s="10"/>
      <c r="E75" s="10"/>
      <c r="F75" s="10"/>
      <c r="G75" s="10"/>
    </row>
    <row r="76" spans="1:7" ht="16.5">
      <c r="A76" s="135" t="s">
        <v>500</v>
      </c>
      <c r="B76" s="10"/>
      <c r="C76" s="10"/>
      <c r="D76" s="10"/>
      <c r="E76" s="10"/>
      <c r="F76" s="10"/>
      <c r="G76" s="10"/>
    </row>
    <row r="77" spans="1:7" ht="16.5">
      <c r="A77" s="40"/>
      <c r="B77" s="10"/>
      <c r="C77" s="10"/>
      <c r="D77" s="10"/>
      <c r="E77" s="10"/>
      <c r="F77" s="10"/>
      <c r="G77" s="10"/>
    </row>
    <row r="78" spans="1:7" ht="16.5">
      <c r="A78" s="40" t="s">
        <v>467</v>
      </c>
      <c r="B78" s="10"/>
      <c r="C78" s="10"/>
      <c r="D78" s="10"/>
      <c r="E78" s="10"/>
      <c r="F78" s="10"/>
      <c r="G78" s="10"/>
    </row>
    <row r="79" spans="1:7" ht="16.5">
      <c r="A79" s="135" t="s">
        <v>392</v>
      </c>
      <c r="B79" s="10"/>
      <c r="C79" s="10"/>
      <c r="D79" s="10"/>
      <c r="E79" s="10"/>
      <c r="F79" s="10"/>
      <c r="G79" s="10"/>
    </row>
    <row r="80" spans="1:7">
      <c r="A80" s="147"/>
    </row>
    <row r="81" spans="1:8" ht="16.5">
      <c r="A81" s="40" t="s">
        <v>468</v>
      </c>
    </row>
    <row r="82" spans="1:8" ht="16.5">
      <c r="A82" s="40" t="s">
        <v>0</v>
      </c>
    </row>
    <row r="83" spans="1:8" ht="16.5">
      <c r="A83" s="40" t="s">
        <v>0</v>
      </c>
      <c r="H83" s="10"/>
    </row>
    <row r="84" spans="1:8" ht="16.5">
      <c r="A84" s="370"/>
      <c r="H84" s="10"/>
    </row>
    <row r="85" spans="1:8" ht="21" thickBot="1">
      <c r="A85" s="138"/>
      <c r="B85" s="138"/>
      <c r="C85" s="138"/>
      <c r="D85" s="26"/>
      <c r="E85" s="33"/>
      <c r="F85" s="26"/>
      <c r="G85" s="137"/>
      <c r="H85" s="10"/>
    </row>
  </sheetData>
  <hyperlinks>
    <hyperlink ref="A79" r:id="rId1" xr:uid="{3551AA62-30A6-4675-9BC1-5942DE95665F}"/>
    <hyperlink ref="A70" r:id="rId2" xr:uid="{535A063F-3EAA-48D1-A892-EADD7BB044E6}"/>
    <hyperlink ref="A73" r:id="rId3" xr:uid="{72C669F6-DC71-401E-801C-D302C69996DE}"/>
    <hyperlink ref="A76" r:id="rId4" xr:uid="{868F92BD-DD91-4649-A310-FED2DDF6A1EE}"/>
  </hyperlinks>
  <pageMargins left="0.25" right="0.25" top="0.75" bottom="0.75" header="0.3" footer="0.3"/>
  <pageSetup scale="40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6F057-4F9C-46ED-B323-EFFE60CE3A31}">
  <sheetPr>
    <tabColor rgb="FF92D050"/>
  </sheetPr>
  <dimension ref="A1:R108"/>
  <sheetViews>
    <sheetView tabSelected="1" view="pageBreakPreview" topLeftCell="A33" zoomScale="50" zoomScaleNormal="80" zoomScaleSheetLayoutView="50" workbookViewId="0">
      <selection activeCell="A74" sqref="A74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21" t="s">
        <v>1</v>
      </c>
      <c r="C1" s="21"/>
      <c r="D1" s="21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C2" s="22"/>
      <c r="D2" s="22"/>
      <c r="E2" s="10"/>
      <c r="F2" s="10"/>
      <c r="G2" s="10"/>
      <c r="H2" s="10"/>
      <c r="I2" s="10"/>
      <c r="J2" s="10"/>
      <c r="K2" s="10"/>
    </row>
    <row r="3" spans="1:11" ht="16.5">
      <c r="A3" s="23" t="s">
        <v>465</v>
      </c>
      <c r="C3" s="23"/>
      <c r="D3" s="23"/>
      <c r="E3" s="10"/>
      <c r="F3" s="10"/>
      <c r="G3" s="10"/>
      <c r="H3" s="10"/>
      <c r="I3" s="10"/>
      <c r="J3" s="10"/>
      <c r="K3" s="10"/>
    </row>
    <row r="4" spans="1:11" ht="16.5">
      <c r="B4" s="23"/>
      <c r="C4" s="23"/>
      <c r="D4" s="23"/>
      <c r="E4" s="10"/>
      <c r="F4" s="10"/>
      <c r="G4" s="10"/>
      <c r="H4" s="10"/>
      <c r="I4" s="10"/>
      <c r="J4" s="10"/>
      <c r="K4" s="10"/>
    </row>
    <row r="5" spans="1:11" ht="16.5">
      <c r="B5" s="10"/>
      <c r="C5" s="10"/>
      <c r="D5" s="10"/>
      <c r="E5" s="10"/>
      <c r="F5" s="10"/>
      <c r="G5" s="10"/>
      <c r="H5" s="10"/>
      <c r="I5" s="503" t="s">
        <v>0</v>
      </c>
      <c r="J5" s="24"/>
      <c r="K5" s="10"/>
    </row>
    <row r="6" spans="1:11" ht="17.25" thickBot="1">
      <c r="B6" s="10"/>
      <c r="C6" s="10"/>
      <c r="D6" s="26"/>
      <c r="E6" s="26"/>
      <c r="F6" s="137"/>
      <c r="H6" s="10"/>
      <c r="I6" s="10"/>
      <c r="J6" s="10"/>
    </row>
    <row r="7" spans="1:11" ht="27" thickBot="1">
      <c r="A7" s="25" t="s">
        <v>357</v>
      </c>
      <c r="C7" s="27"/>
      <c r="D7" s="27"/>
      <c r="E7" s="28" t="s">
        <v>236</v>
      </c>
      <c r="H7" s="10"/>
      <c r="I7" s="10"/>
      <c r="J7" s="10"/>
    </row>
    <row r="8" spans="1:11" ht="21" thickBot="1">
      <c r="B8" s="27"/>
      <c r="C8" s="27"/>
      <c r="D8" s="138"/>
      <c r="E8" s="33" t="s">
        <v>478</v>
      </c>
      <c r="F8" s="137"/>
      <c r="H8" s="10"/>
      <c r="I8" s="10"/>
    </row>
    <row r="9" spans="1:11" ht="20.25">
      <c r="B9" s="27"/>
      <c r="C9" s="27"/>
      <c r="D9" s="27"/>
      <c r="E9" s="31"/>
      <c r="H9" s="10"/>
      <c r="I9" s="10"/>
    </row>
    <row r="10" spans="1:11" ht="29.1" customHeight="1" thickBot="1">
      <c r="A10" s="138"/>
      <c r="B10" s="27"/>
      <c r="I10" s="10"/>
    </row>
    <row r="11" spans="1:11" ht="22.5" customHeight="1" thickBot="1">
      <c r="A11" s="150" t="s">
        <v>235</v>
      </c>
      <c r="B11" s="27"/>
      <c r="I11" s="10"/>
    </row>
    <row r="12" spans="1:11" ht="20.100000000000001" customHeight="1" thickBot="1">
      <c r="A12" s="149" t="s">
        <v>0</v>
      </c>
      <c r="B12" s="10"/>
      <c r="C12" s="10"/>
      <c r="D12" s="10"/>
      <c r="E12" s="10"/>
      <c r="F12" s="10"/>
      <c r="G12" s="10"/>
      <c r="H12" s="10"/>
      <c r="I12" s="10"/>
    </row>
    <row r="13" spans="1:11" ht="60.6" customHeight="1" thickBot="1">
      <c r="A13" s="188" t="s">
        <v>0</v>
      </c>
      <c r="B13" s="144" t="s">
        <v>284</v>
      </c>
      <c r="C13" s="144" t="s">
        <v>283</v>
      </c>
      <c r="D13" s="143" t="s">
        <v>216</v>
      </c>
      <c r="E13" s="144" t="s">
        <v>217</v>
      </c>
      <c r="F13" s="144" t="s">
        <v>253</v>
      </c>
      <c r="G13" s="144" t="s">
        <v>252</v>
      </c>
      <c r="H13" s="144" t="s">
        <v>218</v>
      </c>
    </row>
    <row r="14" spans="1:11" ht="16.5">
      <c r="A14" s="139"/>
      <c r="B14" s="184"/>
      <c r="C14" s="184"/>
      <c r="D14" s="104"/>
      <c r="E14" s="184"/>
      <c r="F14" s="184"/>
      <c r="G14" s="184"/>
      <c r="H14" s="184"/>
    </row>
    <row r="15" spans="1:11" ht="20.25">
      <c r="A15" s="148" t="str">
        <f>+A7</f>
        <v>Air Passenger Carriers</v>
      </c>
      <c r="B15" s="200">
        <v>0</v>
      </c>
      <c r="C15" s="200">
        <v>0</v>
      </c>
      <c r="D15" s="408">
        <v>0</v>
      </c>
      <c r="E15" s="200">
        <v>0</v>
      </c>
      <c r="F15" s="200">
        <f>+'Dividends '!K27</f>
        <v>0.19594145467508342</v>
      </c>
      <c r="G15" s="200">
        <f>+Earnings!K26</f>
        <v>8.5748762145145777E-2</v>
      </c>
      <c r="H15" s="200">
        <v>0</v>
      </c>
    </row>
    <row r="16" spans="1:11" ht="21" thickBot="1">
      <c r="A16" s="141" t="s">
        <v>0</v>
      </c>
      <c r="B16" s="185" t="s">
        <v>0</v>
      </c>
      <c r="C16" s="185"/>
      <c r="D16" s="285"/>
      <c r="E16" s="185"/>
      <c r="F16" s="225">
        <f>+'Dividends '!K28</f>
        <v>0.35624307982840792</v>
      </c>
      <c r="G16" s="225">
        <f>+Earnings!K27</f>
        <v>0.26158827113739042</v>
      </c>
      <c r="H16" s="185"/>
    </row>
    <row r="17" spans="1:18" ht="57.95" customHeight="1" thickBot="1">
      <c r="A17" s="10"/>
      <c r="B17" s="10"/>
      <c r="C17" s="10"/>
      <c r="D17" s="10"/>
      <c r="E17" s="10"/>
      <c r="F17" s="10"/>
      <c r="G17" s="10"/>
      <c r="H17" s="10"/>
      <c r="I17" s="10"/>
    </row>
    <row r="18" spans="1:18" ht="24.95" customHeight="1" thickBot="1">
      <c r="A18" s="150" t="s">
        <v>448</v>
      </c>
      <c r="B18" s="10"/>
      <c r="C18" s="10"/>
      <c r="D18" s="433"/>
      <c r="E18" s="10"/>
      <c r="F18" s="10"/>
      <c r="G18" s="10"/>
      <c r="H18" s="10"/>
      <c r="I18" s="10"/>
    </row>
    <row r="19" spans="1:18" ht="20.100000000000001" customHeight="1">
      <c r="A19" s="10"/>
      <c r="B19" s="10"/>
      <c r="C19" s="10"/>
      <c r="D19" s="450" t="s">
        <v>448</v>
      </c>
      <c r="E19" s="10"/>
      <c r="F19" s="10"/>
      <c r="G19" s="10"/>
      <c r="H19" s="10"/>
      <c r="I19" s="10"/>
    </row>
    <row r="20" spans="1:18" ht="27.95" customHeight="1">
      <c r="A20" s="451"/>
      <c r="B20" s="427"/>
      <c r="C20" s="452" t="s">
        <v>469</v>
      </c>
      <c r="D20" s="453"/>
      <c r="E20" s="10"/>
      <c r="F20" s="10"/>
      <c r="G20" s="10"/>
      <c r="H20" s="10"/>
      <c r="I20" s="10"/>
    </row>
    <row r="21" spans="1:18" ht="27.95" customHeight="1">
      <c r="A21" s="367"/>
      <c r="C21" s="454" t="s">
        <v>449</v>
      </c>
      <c r="D21" s="455">
        <v>4.19E-2</v>
      </c>
      <c r="E21" s="10"/>
      <c r="F21" s="10"/>
      <c r="G21" s="10"/>
      <c r="H21" s="10"/>
      <c r="I21" s="10"/>
    </row>
    <row r="22" spans="1:18" ht="27" customHeight="1">
      <c r="A22" s="367"/>
      <c r="C22" s="454" t="s">
        <v>450</v>
      </c>
      <c r="D22" s="455">
        <v>4.8099999999999997E-2</v>
      </c>
      <c r="E22" s="10"/>
      <c r="F22" s="10"/>
      <c r="G22" s="10"/>
      <c r="H22" s="10"/>
      <c r="I22" s="10"/>
    </row>
    <row r="23" spans="1:18" ht="27" customHeight="1" thickBot="1">
      <c r="A23" s="367"/>
      <c r="C23" s="454" t="s">
        <v>451</v>
      </c>
      <c r="D23" s="455">
        <v>4.8599999999999997E-2</v>
      </c>
      <c r="E23" s="10"/>
      <c r="F23" s="10"/>
      <c r="G23" s="456" t="s">
        <v>452</v>
      </c>
      <c r="I23" s="10"/>
    </row>
    <row r="24" spans="1:18" ht="27" customHeight="1" thickBot="1">
      <c r="A24" s="367"/>
      <c r="B24" s="10"/>
      <c r="C24" s="457" t="s">
        <v>470</v>
      </c>
      <c r="D24" s="458"/>
      <c r="E24" s="10"/>
      <c r="F24" s="10"/>
      <c r="G24" s="459">
        <v>4.8099999999999997E-2</v>
      </c>
      <c r="H24" s="10"/>
      <c r="I24" s="10"/>
    </row>
    <row r="25" spans="1:18" ht="27" customHeight="1">
      <c r="A25" s="367"/>
      <c r="C25" s="454" t="s">
        <v>449</v>
      </c>
      <c r="D25" s="455">
        <v>4.1200000000000001E-2</v>
      </c>
      <c r="E25" s="10"/>
      <c r="F25" s="10"/>
      <c r="G25" s="10"/>
      <c r="H25" s="10"/>
      <c r="I25" s="10"/>
    </row>
    <row r="26" spans="1:18" ht="27" customHeight="1">
      <c r="A26" s="367"/>
      <c r="C26" s="454" t="s">
        <v>453</v>
      </c>
      <c r="D26" s="455">
        <v>0</v>
      </c>
      <c r="E26" s="10"/>
      <c r="F26" s="10"/>
      <c r="G26" s="10"/>
      <c r="H26" s="10"/>
      <c r="I26" s="10"/>
    </row>
    <row r="27" spans="1:18" ht="27" customHeight="1">
      <c r="A27" s="367"/>
      <c r="C27" s="454" t="s">
        <v>454</v>
      </c>
      <c r="D27" s="455">
        <v>4.8300000000000003E-2</v>
      </c>
      <c r="E27" s="10"/>
      <c r="F27" s="10"/>
      <c r="G27" s="10"/>
      <c r="H27" s="10"/>
      <c r="I27" s="10"/>
    </row>
    <row r="28" spans="1:18" ht="27" customHeight="1">
      <c r="A28" s="367"/>
      <c r="C28" s="460" t="s">
        <v>471</v>
      </c>
      <c r="D28" s="461">
        <v>4.1799999999999997E-2</v>
      </c>
      <c r="E28" s="10"/>
      <c r="F28" s="10"/>
      <c r="G28" s="10"/>
      <c r="H28" s="10"/>
      <c r="I28" s="10"/>
    </row>
    <row r="29" spans="1:18" ht="20.25">
      <c r="A29" s="462"/>
      <c r="B29" s="208"/>
      <c r="C29" s="463" t="s">
        <v>472</v>
      </c>
      <c r="D29" s="464">
        <v>4.7899999999999998E-2</v>
      </c>
      <c r="L29" s="10"/>
    </row>
    <row r="30" spans="1:18" ht="63.6" customHeight="1" thickBot="1">
      <c r="B30" s="10"/>
      <c r="C30" s="10"/>
      <c r="D30" s="26"/>
      <c r="E30" s="26"/>
      <c r="F30" s="26"/>
      <c r="G30" s="10"/>
      <c r="H30" s="10"/>
      <c r="I30" s="10"/>
      <c r="L30" s="10"/>
    </row>
    <row r="31" spans="1:18" ht="26.25">
      <c r="B31" s="27"/>
      <c r="C31" s="27"/>
      <c r="D31" s="10"/>
      <c r="E31" s="28" t="s">
        <v>201</v>
      </c>
      <c r="F31" s="10"/>
      <c r="G31" s="10"/>
      <c r="H31" s="10"/>
      <c r="I31" s="10"/>
      <c r="J31" s="465" t="s">
        <v>0</v>
      </c>
      <c r="K31" s="81"/>
      <c r="L31" s="81"/>
      <c r="M31" s="81"/>
      <c r="N31" s="81"/>
      <c r="O31" s="10"/>
      <c r="P31" s="10"/>
      <c r="Q31" s="10"/>
      <c r="R31" s="10"/>
    </row>
    <row r="32" spans="1:18" ht="21" thickBot="1">
      <c r="A32" s="137"/>
      <c r="B32" s="27"/>
      <c r="C32" s="27"/>
      <c r="D32" s="26"/>
      <c r="E32" s="33" t="s">
        <v>478</v>
      </c>
      <c r="F32" s="26"/>
      <c r="G32" s="10"/>
      <c r="H32" s="10"/>
      <c r="I32" s="10"/>
      <c r="J32" s="466"/>
      <c r="K32" s="467"/>
      <c r="L32" s="467"/>
      <c r="M32" s="81"/>
      <c r="N32" s="81"/>
      <c r="O32" s="10"/>
      <c r="P32" s="10"/>
      <c r="Q32" s="10"/>
      <c r="R32" s="10"/>
    </row>
    <row r="33" spans="1:18" ht="21" thickBot="1">
      <c r="A33" s="136" t="s">
        <v>424</v>
      </c>
      <c r="B33" s="27"/>
      <c r="C33" s="27"/>
      <c r="D33" s="31"/>
      <c r="E33" s="134"/>
      <c r="F33" s="10"/>
      <c r="G33" s="10"/>
      <c r="H33" s="10"/>
      <c r="I33" s="10"/>
      <c r="J33" s="466"/>
      <c r="K33" s="466"/>
      <c r="L33" s="466"/>
      <c r="M33" s="467"/>
      <c r="N33" s="468"/>
      <c r="O33" s="10"/>
      <c r="P33" s="10"/>
      <c r="Q33" s="10"/>
      <c r="R33" s="10"/>
    </row>
    <row r="34" spans="1:18" ht="18.75">
      <c r="A34" s="37" t="s">
        <v>0</v>
      </c>
      <c r="B34" s="37"/>
      <c r="C34" s="37"/>
      <c r="D34" s="37" t="s">
        <v>0</v>
      </c>
      <c r="E34" s="37" t="s">
        <v>0</v>
      </c>
      <c r="F34" s="37" t="s">
        <v>0</v>
      </c>
      <c r="G34" s="37"/>
      <c r="H34" s="10"/>
      <c r="I34" s="10"/>
      <c r="J34" s="466"/>
      <c r="K34" s="469"/>
      <c r="L34" s="466"/>
      <c r="M34" s="467"/>
      <c r="N34" s="81"/>
      <c r="O34" s="10"/>
      <c r="P34" s="10"/>
      <c r="Q34" s="10"/>
      <c r="R34" s="10"/>
    </row>
    <row r="35" spans="1:18" ht="20.25">
      <c r="A35" s="31" t="s">
        <v>0</v>
      </c>
      <c r="B35" s="31"/>
      <c r="C35" s="31"/>
      <c r="D35" s="410" t="s">
        <v>77</v>
      </c>
      <c r="E35" s="410" t="s">
        <v>237</v>
      </c>
      <c r="F35" s="410" t="s">
        <v>121</v>
      </c>
      <c r="G35" s="222"/>
      <c r="H35" s="10"/>
      <c r="I35" s="10"/>
      <c r="J35" s="466"/>
      <c r="K35" s="466"/>
      <c r="L35" s="466"/>
      <c r="M35" s="467"/>
      <c r="N35" s="81"/>
      <c r="O35" s="10"/>
      <c r="P35" s="10"/>
      <c r="Q35" s="10"/>
      <c r="R35" s="10"/>
    </row>
    <row r="36" spans="1:18" ht="20.25">
      <c r="A36" s="480" t="s">
        <v>119</v>
      </c>
      <c r="B36" s="481"/>
      <c r="C36" s="482"/>
      <c r="D36" s="411" t="s">
        <v>79</v>
      </c>
      <c r="E36" s="411" t="s">
        <v>120</v>
      </c>
      <c r="F36" s="411" t="s">
        <v>122</v>
      </c>
      <c r="G36" s="222"/>
      <c r="H36" s="10"/>
      <c r="I36" s="10"/>
      <c r="J36" s="467"/>
      <c r="K36" s="467"/>
      <c r="L36" s="470"/>
      <c r="M36" s="467"/>
      <c r="N36" s="81"/>
      <c r="O36" s="10"/>
      <c r="P36" s="10"/>
      <c r="Q36" s="10"/>
      <c r="R36" s="10"/>
    </row>
    <row r="37" spans="1:18" ht="18.75">
      <c r="H37" s="409"/>
      <c r="J37" s="467"/>
      <c r="K37" s="467"/>
      <c r="L37" s="81"/>
      <c r="M37" s="81"/>
      <c r="N37" s="81"/>
      <c r="O37" s="10"/>
      <c r="P37" s="10"/>
      <c r="Q37" s="10"/>
      <c r="R37" s="10"/>
    </row>
    <row r="38" spans="1:18" ht="20.25">
      <c r="A38" s="412" t="s">
        <v>238</v>
      </c>
      <c r="B38" s="151"/>
      <c r="C38" s="181"/>
      <c r="D38" s="413">
        <v>2.2499999999999999E-2</v>
      </c>
      <c r="E38" s="414" t="s">
        <v>380</v>
      </c>
      <c r="F38" s="414" t="s">
        <v>380</v>
      </c>
      <c r="H38" s="409" t="s">
        <v>0</v>
      </c>
      <c r="J38" s="471"/>
      <c r="K38" s="467"/>
      <c r="L38" s="467"/>
      <c r="M38" s="81"/>
      <c r="N38" s="81"/>
      <c r="O38" s="10"/>
      <c r="P38" s="10"/>
      <c r="Q38" s="10"/>
      <c r="R38" s="10"/>
    </row>
    <row r="39" spans="1:18" ht="20.25">
      <c r="A39" s="415" t="s">
        <v>239</v>
      </c>
      <c r="B39" s="58"/>
      <c r="C39" s="182"/>
      <c r="D39" s="416">
        <v>2.4199999999999999E-2</v>
      </c>
      <c r="E39" s="417" t="s">
        <v>380</v>
      </c>
      <c r="F39" s="417" t="s">
        <v>380</v>
      </c>
      <c r="H39" s="27" t="s">
        <v>0</v>
      </c>
      <c r="I39" s="10"/>
      <c r="J39" s="471"/>
      <c r="K39" s="467"/>
      <c r="L39" s="467"/>
      <c r="M39" s="81"/>
      <c r="N39" s="81"/>
      <c r="O39" s="10"/>
      <c r="P39" s="10"/>
      <c r="Q39" s="10"/>
      <c r="R39" s="10"/>
    </row>
    <row r="40" spans="1:18" ht="20.25">
      <c r="A40" s="418" t="s">
        <v>240</v>
      </c>
      <c r="B40" s="153"/>
      <c r="C40" s="183"/>
      <c r="D40" s="419">
        <v>2.23E-2</v>
      </c>
      <c r="E40" s="420" t="s">
        <v>380</v>
      </c>
      <c r="F40" s="420" t="s">
        <v>380</v>
      </c>
      <c r="H40" s="118" t="s">
        <v>0</v>
      </c>
      <c r="I40" s="10"/>
      <c r="J40" s="471"/>
      <c r="K40" s="467"/>
      <c r="L40" s="467"/>
      <c r="M40" s="81"/>
      <c r="N40" s="81"/>
      <c r="O40" s="10"/>
      <c r="P40" s="10"/>
      <c r="Q40" s="10"/>
      <c r="R40" s="10"/>
    </row>
    <row r="41" spans="1:18" ht="20.25">
      <c r="A41" s="415" t="s">
        <v>241</v>
      </c>
      <c r="B41" s="58"/>
      <c r="C41" s="182"/>
      <c r="D41" s="421">
        <v>2.29E-2</v>
      </c>
      <c r="E41" s="421">
        <v>2.01E-2</v>
      </c>
      <c r="F41" s="416">
        <f t="shared" ref="F41:F49" si="0">+D41+E41</f>
        <v>4.2999999999999997E-2</v>
      </c>
      <c r="H41" s="10" t="s">
        <v>0</v>
      </c>
      <c r="I41" s="10"/>
      <c r="J41" s="471"/>
      <c r="K41" s="467"/>
      <c r="L41" s="467"/>
      <c r="M41" s="81"/>
      <c r="N41" s="81"/>
      <c r="O41" s="10"/>
      <c r="P41" s="10"/>
      <c r="Q41" s="10"/>
      <c r="R41" s="10"/>
    </row>
    <row r="42" spans="1:18" ht="20.25">
      <c r="A42" s="415" t="s">
        <v>425</v>
      </c>
      <c r="B42" s="58"/>
      <c r="C42" s="182"/>
      <c r="D42" s="421">
        <v>2.4E-2</v>
      </c>
      <c r="E42" s="421">
        <v>0.02</v>
      </c>
      <c r="F42" s="416">
        <f t="shared" si="0"/>
        <v>4.3999999999999997E-2</v>
      </c>
      <c r="H42" s="10"/>
      <c r="I42" s="10"/>
      <c r="J42" s="471"/>
      <c r="K42" s="467"/>
      <c r="L42" s="81"/>
      <c r="M42" s="81"/>
      <c r="N42" s="81"/>
      <c r="O42" s="10"/>
      <c r="P42" s="10"/>
      <c r="Q42" s="10"/>
      <c r="R42" s="10"/>
    </row>
    <row r="43" spans="1:18" ht="20.25">
      <c r="A43" s="418" t="s">
        <v>426</v>
      </c>
      <c r="B43" s="153"/>
      <c r="C43" s="183"/>
      <c r="D43" s="422">
        <v>2.3400000000000001E-2</v>
      </c>
      <c r="E43" s="422">
        <v>2.1000000000000001E-2</v>
      </c>
      <c r="F43" s="419">
        <f t="shared" si="0"/>
        <v>4.4400000000000002E-2</v>
      </c>
      <c r="H43" s="10"/>
      <c r="I43" s="10"/>
      <c r="J43" s="471"/>
      <c r="K43" s="467"/>
      <c r="L43" s="81"/>
      <c r="M43" s="81"/>
      <c r="N43" s="81"/>
      <c r="O43" s="10"/>
      <c r="P43" s="10"/>
      <c r="Q43" s="10"/>
      <c r="R43" s="10"/>
    </row>
    <row r="44" spans="1:18" ht="20.25">
      <c r="A44" s="415" t="s">
        <v>427</v>
      </c>
      <c r="B44" s="58"/>
      <c r="C44" s="182"/>
      <c r="D44" s="416">
        <v>2.3E-2</v>
      </c>
      <c r="E44" s="421">
        <v>1.7999999999999999E-2</v>
      </c>
      <c r="F44" s="416">
        <f t="shared" si="0"/>
        <v>4.0999999999999995E-2</v>
      </c>
      <c r="H44" s="117" t="s">
        <v>0</v>
      </c>
      <c r="I44" s="10"/>
      <c r="J44" s="471"/>
      <c r="K44" s="467"/>
      <c r="L44" s="81"/>
      <c r="M44" s="81"/>
      <c r="N44" s="81"/>
      <c r="O44" s="10"/>
      <c r="P44" s="10"/>
      <c r="Q44" s="10"/>
      <c r="R44" s="10"/>
    </row>
    <row r="45" spans="1:18" ht="20.25">
      <c r="A45" s="415" t="s">
        <v>428</v>
      </c>
      <c r="B45" s="58"/>
      <c r="C45" s="182"/>
      <c r="D45" s="416">
        <v>2.3E-2</v>
      </c>
      <c r="E45" s="421">
        <v>2.1000000000000001E-2</v>
      </c>
      <c r="F45" s="416">
        <f t="shared" si="0"/>
        <v>4.3999999999999997E-2</v>
      </c>
      <c r="H45" s="117" t="s">
        <v>0</v>
      </c>
      <c r="I45" s="10"/>
      <c r="J45" s="471"/>
      <c r="K45" s="467"/>
      <c r="L45" s="81"/>
      <c r="M45" s="81"/>
      <c r="N45" s="81"/>
      <c r="O45" s="10"/>
      <c r="P45" s="10"/>
      <c r="Q45" s="10"/>
      <c r="R45" s="10"/>
    </row>
    <row r="46" spans="1:18" ht="20.25">
      <c r="A46" s="418" t="s">
        <v>429</v>
      </c>
      <c r="B46" s="153"/>
      <c r="C46" s="183"/>
      <c r="D46" s="419">
        <v>2.3E-2</v>
      </c>
      <c r="E46" s="422">
        <v>1.9E-2</v>
      </c>
      <c r="F46" s="419">
        <f t="shared" si="0"/>
        <v>4.1999999999999996E-2</v>
      </c>
      <c r="H46" s="10"/>
      <c r="I46" s="10"/>
      <c r="J46" s="471"/>
      <c r="K46" s="467"/>
      <c r="L46" s="81"/>
      <c r="M46" s="81"/>
      <c r="N46" s="81"/>
      <c r="O46" s="10"/>
      <c r="P46" s="10"/>
      <c r="Q46" s="10"/>
      <c r="R46" s="10"/>
    </row>
    <row r="47" spans="1:18" ht="20.25">
      <c r="A47" s="415" t="s">
        <v>430</v>
      </c>
      <c r="B47" s="58"/>
      <c r="C47" s="182"/>
      <c r="D47" s="416">
        <v>2.3E-2</v>
      </c>
      <c r="E47" s="421">
        <v>2.1000000000000001E-2</v>
      </c>
      <c r="F47" s="416">
        <f t="shared" si="0"/>
        <v>4.3999999999999997E-2</v>
      </c>
      <c r="H47" s="10"/>
      <c r="I47" s="10"/>
      <c r="J47" s="471"/>
      <c r="K47" s="467"/>
      <c r="L47" s="81"/>
      <c r="M47" s="81"/>
      <c r="N47" s="81"/>
      <c r="O47" s="10"/>
      <c r="P47" s="10"/>
      <c r="Q47" s="10"/>
      <c r="R47" s="10"/>
    </row>
    <row r="48" spans="1:18" ht="20.25">
      <c r="A48" s="415" t="s">
        <v>431</v>
      </c>
      <c r="B48" s="58"/>
      <c r="C48" s="182"/>
      <c r="D48" s="417" t="s">
        <v>380</v>
      </c>
      <c r="E48" s="421">
        <v>2.1999999999999999E-2</v>
      </c>
      <c r="F48" s="417" t="s">
        <v>380</v>
      </c>
      <c r="H48" s="10"/>
      <c r="I48" s="10"/>
      <c r="J48" s="471"/>
      <c r="K48" s="467"/>
      <c r="L48" s="81"/>
      <c r="M48" s="81"/>
      <c r="N48" s="81"/>
      <c r="O48" s="10"/>
      <c r="P48" s="10"/>
      <c r="Q48" s="10"/>
      <c r="R48" s="10"/>
    </row>
    <row r="49" spans="1:18" ht="20.25">
      <c r="A49" s="418" t="s">
        <v>432</v>
      </c>
      <c r="B49" s="153"/>
      <c r="C49" s="183"/>
      <c r="D49" s="419">
        <v>0.02</v>
      </c>
      <c r="E49" s="419">
        <v>1.7999999999999999E-2</v>
      </c>
      <c r="F49" s="419">
        <f t="shared" si="0"/>
        <v>3.7999999999999999E-2</v>
      </c>
      <c r="H49" s="10"/>
      <c r="I49" s="10"/>
      <c r="J49" s="471"/>
      <c r="K49" s="472" t="s">
        <v>0</v>
      </c>
      <c r="L49" s="81"/>
      <c r="M49" s="81"/>
      <c r="N49" s="81"/>
      <c r="O49" s="10"/>
      <c r="P49" s="10"/>
      <c r="Q49" s="10"/>
      <c r="R49" s="10"/>
    </row>
    <row r="50" spans="1:18" ht="20.25">
      <c r="A50" s="101"/>
      <c r="B50" s="112"/>
      <c r="C50" s="112" t="s">
        <v>45</v>
      </c>
      <c r="D50" s="423">
        <f>MAX(D38:D49)</f>
        <v>2.4199999999999999E-2</v>
      </c>
      <c r="E50" s="423">
        <f>MAX(E38:E49)</f>
        <v>2.1999999999999999E-2</v>
      </c>
      <c r="F50" s="423">
        <f>MAX(F38:F49)</f>
        <v>4.4400000000000002E-2</v>
      </c>
      <c r="G50" s="223"/>
      <c r="H50" s="10"/>
      <c r="I50" s="10"/>
      <c r="L50" s="10"/>
      <c r="M50" s="10"/>
      <c r="N50" s="10"/>
      <c r="Q50" s="10"/>
      <c r="R50" s="10"/>
    </row>
    <row r="51" spans="1:18" ht="18.75" customHeight="1">
      <c r="A51" s="101"/>
      <c r="B51" s="112"/>
      <c r="C51" s="112" t="s">
        <v>46</v>
      </c>
      <c r="D51" s="423">
        <f>MIN(D38:D49)</f>
        <v>0.02</v>
      </c>
      <c r="E51" s="423">
        <f>MIN(E38:E49)</f>
        <v>1.7999999999999999E-2</v>
      </c>
      <c r="F51" s="424">
        <f>MIN(F38:F49)</f>
        <v>3.7999999999999999E-2</v>
      </c>
      <c r="G51" s="224"/>
      <c r="H51" s="10"/>
      <c r="I51" s="10"/>
      <c r="L51" s="10"/>
      <c r="M51" s="10"/>
      <c r="N51" s="10"/>
      <c r="O51" s="10"/>
      <c r="R51" s="10"/>
    </row>
    <row r="52" spans="1:18" ht="20.25">
      <c r="A52" s="101"/>
      <c r="B52" s="112"/>
      <c r="C52" s="112" t="s">
        <v>18</v>
      </c>
      <c r="D52" s="425">
        <f>MEDIAN(D38:D49)</f>
        <v>2.3E-2</v>
      </c>
      <c r="E52" s="425">
        <f>MEDIAN(E38:E49)</f>
        <v>2.01E-2</v>
      </c>
      <c r="F52" s="416">
        <f>+D52+E52</f>
        <v>4.3099999999999999E-2</v>
      </c>
      <c r="G52" s="224"/>
      <c r="H52" s="10"/>
      <c r="I52" s="10"/>
      <c r="L52" s="10"/>
      <c r="M52" s="10"/>
      <c r="N52" s="10"/>
      <c r="O52" s="10"/>
      <c r="R52" s="10"/>
    </row>
    <row r="53" spans="1:18" ht="20.25">
      <c r="A53" s="101"/>
      <c r="B53" s="112"/>
      <c r="C53" s="112" t="s">
        <v>19</v>
      </c>
      <c r="D53" s="422">
        <f>AVERAGE(D38:D49)</f>
        <v>2.2845454545454544E-2</v>
      </c>
      <c r="E53" s="422">
        <f>AVERAGE(E38:E49)</f>
        <v>2.0011111111111108E-2</v>
      </c>
      <c r="F53" s="419">
        <f>+D53+E53</f>
        <v>4.2856565656565648E-2</v>
      </c>
      <c r="G53" s="223"/>
      <c r="H53" s="10"/>
      <c r="I53" s="10"/>
      <c r="L53" s="10"/>
      <c r="M53" s="10"/>
      <c r="N53" s="10"/>
      <c r="O53" s="10"/>
      <c r="R53" s="10"/>
    </row>
    <row r="54" spans="1:18" ht="18.75">
      <c r="A54" s="10"/>
      <c r="B54" s="12"/>
      <c r="D54" s="192"/>
      <c r="E54" s="192"/>
      <c r="F54" s="192"/>
      <c r="G54" s="223"/>
      <c r="H54" s="10"/>
      <c r="I54" s="10"/>
      <c r="L54" s="10"/>
      <c r="M54" s="10"/>
      <c r="N54" s="10"/>
      <c r="O54" s="10"/>
    </row>
    <row r="55" spans="1:18" ht="16.5" customHeight="1" thickBot="1">
      <c r="A55" s="10"/>
      <c r="B55" s="12"/>
      <c r="D55" s="192"/>
      <c r="E55" s="192"/>
      <c r="F55" s="192"/>
      <c r="L55" s="10"/>
      <c r="M55" s="10"/>
      <c r="N55" s="10"/>
      <c r="O55" s="10"/>
    </row>
    <row r="56" spans="1:18" ht="27" thickBot="1">
      <c r="A56" s="10"/>
      <c r="B56" s="118"/>
      <c r="C56" s="45" t="s">
        <v>202</v>
      </c>
      <c r="D56" s="459">
        <v>2.2800000000000001E-2</v>
      </c>
      <c r="E56" s="459">
        <v>0.02</v>
      </c>
      <c r="F56" s="473">
        <v>4.2900000000000001E-2</v>
      </c>
      <c r="L56" s="10"/>
      <c r="M56" s="10"/>
      <c r="N56" s="10"/>
      <c r="O56" s="10"/>
    </row>
    <row r="57" spans="1:18" ht="16.5" customHeight="1">
      <c r="L57" s="10"/>
      <c r="N57" s="10"/>
    </row>
    <row r="58" spans="1:18" ht="16.5">
      <c r="A58" s="10"/>
      <c r="B58" s="10"/>
      <c r="C58" s="10"/>
      <c r="D58" s="10"/>
      <c r="E58" s="10"/>
      <c r="F58" s="10"/>
      <c r="G58" s="10"/>
      <c r="I58" s="10"/>
      <c r="L58" s="10"/>
      <c r="N58" s="10"/>
    </row>
    <row r="59" spans="1:18" ht="19.5" customHeight="1">
      <c r="A59" s="426" t="s">
        <v>433</v>
      </c>
      <c r="B59" s="427"/>
      <c r="C59" s="428"/>
      <c r="D59" s="10"/>
      <c r="E59" s="10"/>
      <c r="F59" s="10"/>
      <c r="I59" s="10"/>
      <c r="L59" s="10"/>
      <c r="M59" s="10"/>
      <c r="N59" s="10"/>
    </row>
    <row r="60" spans="1:18" ht="19.5" customHeight="1">
      <c r="A60" s="426" t="s">
        <v>491</v>
      </c>
      <c r="B60" s="427"/>
      <c r="C60" s="427"/>
      <c r="D60" s="427"/>
      <c r="E60" s="427"/>
      <c r="F60" s="427"/>
      <c r="G60" s="429"/>
      <c r="I60" s="10"/>
      <c r="L60" s="10"/>
      <c r="M60" s="10"/>
      <c r="N60" s="10"/>
    </row>
    <row r="61" spans="1:18" ht="19.5" customHeight="1">
      <c r="A61" s="430" t="s">
        <v>492</v>
      </c>
      <c r="B61" s="10"/>
      <c r="C61" s="10"/>
      <c r="D61" s="10"/>
      <c r="E61" s="10"/>
      <c r="F61" s="10"/>
      <c r="G61" s="431"/>
      <c r="I61" s="10"/>
      <c r="L61" s="10"/>
      <c r="M61" s="10"/>
      <c r="N61" s="10"/>
      <c r="O61" s="474"/>
    </row>
    <row r="62" spans="1:18" ht="19.5" customHeight="1">
      <c r="A62" s="430" t="s">
        <v>493</v>
      </c>
      <c r="B62" s="10"/>
      <c r="C62" s="10"/>
      <c r="D62" s="10"/>
      <c r="E62" s="10"/>
      <c r="F62" s="10"/>
      <c r="G62" s="431"/>
      <c r="I62" s="10"/>
      <c r="L62" s="10"/>
      <c r="M62" s="10"/>
      <c r="N62" s="10"/>
      <c r="O62" s="474"/>
      <c r="P62" s="81"/>
      <c r="Q62" s="10"/>
      <c r="R62" s="10"/>
    </row>
    <row r="63" spans="1:18" ht="19.5" customHeight="1">
      <c r="A63" s="432" t="s">
        <v>494</v>
      </c>
      <c r="B63" s="433"/>
      <c r="C63" s="433"/>
      <c r="D63" s="433"/>
      <c r="E63" s="433"/>
      <c r="F63" s="433"/>
      <c r="G63" s="434"/>
      <c r="I63" s="10"/>
      <c r="L63" s="10"/>
      <c r="M63" s="10"/>
      <c r="N63" s="10"/>
      <c r="O63" s="474"/>
      <c r="P63" s="81"/>
      <c r="Q63" s="10"/>
      <c r="R63" s="10"/>
    </row>
    <row r="64" spans="1:18" ht="17.25">
      <c r="A64" s="101"/>
      <c r="B64" s="10"/>
      <c r="C64" s="10"/>
      <c r="D64" s="10"/>
      <c r="E64" s="10"/>
      <c r="F64" s="10"/>
      <c r="I64" s="10"/>
      <c r="L64" s="10"/>
      <c r="M64" s="10"/>
      <c r="N64" s="10"/>
      <c r="O64" s="10"/>
      <c r="P64" s="10"/>
      <c r="Q64" s="10"/>
      <c r="R64" s="10"/>
    </row>
    <row r="65" spans="1:18" ht="15.6" customHeight="1">
      <c r="A65" s="435" t="s">
        <v>242</v>
      </c>
      <c r="B65" s="436"/>
      <c r="C65" s="427"/>
      <c r="D65" s="427"/>
      <c r="E65" s="427"/>
      <c r="F65" s="428"/>
      <c r="G65" s="10"/>
      <c r="I65" s="10"/>
      <c r="L65" s="10"/>
      <c r="M65" s="10"/>
      <c r="N65" s="10"/>
      <c r="O65" s="10"/>
      <c r="P65" s="10"/>
      <c r="Q65" s="10"/>
      <c r="R65" s="10"/>
    </row>
    <row r="66" spans="1:18" ht="15.6" customHeight="1">
      <c r="A66" s="152" t="s">
        <v>434</v>
      </c>
      <c r="B66" s="10"/>
      <c r="C66" s="10"/>
      <c r="E66" s="10"/>
      <c r="F66" s="286"/>
      <c r="G66" s="10"/>
      <c r="I66" s="10"/>
      <c r="L66" s="10"/>
      <c r="M66" s="10"/>
      <c r="N66" s="10"/>
      <c r="O66" s="10"/>
      <c r="P66" s="10"/>
      <c r="Q66" s="10"/>
      <c r="R66" s="10"/>
    </row>
    <row r="67" spans="1:18" ht="15.6" customHeight="1">
      <c r="A67" s="437" t="s">
        <v>243</v>
      </c>
      <c r="B67" s="433"/>
      <c r="C67" s="433"/>
      <c r="D67" s="433"/>
      <c r="E67" s="433"/>
      <c r="F67" s="269"/>
      <c r="G67" s="10"/>
      <c r="I67" s="10" t="s">
        <v>0</v>
      </c>
      <c r="L67" s="10"/>
      <c r="M67" s="10"/>
      <c r="N67" s="10"/>
      <c r="O67" s="10"/>
      <c r="P67" s="10"/>
      <c r="Q67" s="10"/>
      <c r="R67" s="10"/>
    </row>
    <row r="68" spans="1:18" ht="16.5">
      <c r="A68" s="370"/>
      <c r="B68" s="10"/>
      <c r="C68" s="10"/>
      <c r="D68" s="10"/>
      <c r="E68" s="10"/>
      <c r="F68" s="10"/>
      <c r="G68" s="10"/>
      <c r="I68" s="10"/>
      <c r="L68" s="10"/>
      <c r="M68" s="10"/>
      <c r="N68" s="10"/>
      <c r="O68" s="10"/>
      <c r="P68" s="10"/>
      <c r="Q68" s="10"/>
      <c r="R68" s="10"/>
    </row>
    <row r="69" spans="1:18" ht="17.25">
      <c r="A69" s="132" t="s">
        <v>435</v>
      </c>
      <c r="B69" s="120"/>
      <c r="C69" s="120"/>
      <c r="D69" s="120"/>
      <c r="E69" s="121"/>
      <c r="F69" s="120"/>
      <c r="G69" s="120"/>
      <c r="H69" s="120"/>
      <c r="I69" s="10"/>
      <c r="L69" s="10"/>
      <c r="M69" s="10"/>
      <c r="N69" s="10"/>
      <c r="O69" s="10"/>
      <c r="P69" s="10"/>
      <c r="Q69" s="10"/>
      <c r="R69" s="10"/>
    </row>
    <row r="70" spans="1:18" ht="17.25">
      <c r="A70" s="132"/>
      <c r="B70" s="120"/>
      <c r="C70" s="120"/>
      <c r="D70" s="120"/>
      <c r="E70" s="121"/>
      <c r="F70" s="120"/>
      <c r="G70" s="120"/>
      <c r="H70" s="12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6.5">
      <c r="A71" s="438" t="s">
        <v>436</v>
      </c>
      <c r="B71" s="120"/>
      <c r="C71" s="120"/>
      <c r="D71" s="120"/>
      <c r="E71" s="121"/>
      <c r="F71" s="120"/>
      <c r="G71" s="120"/>
      <c r="H71" s="120"/>
      <c r="I71" s="10"/>
    </row>
    <row r="72" spans="1:18" ht="16.5">
      <c r="A72" s="439" t="s">
        <v>495</v>
      </c>
      <c r="B72" s="120"/>
      <c r="C72" s="120"/>
      <c r="D72" s="120"/>
      <c r="E72" s="121"/>
      <c r="F72" s="120"/>
      <c r="G72" s="120"/>
      <c r="H72" s="120"/>
      <c r="I72" s="10"/>
    </row>
    <row r="73" spans="1:18" ht="16.5">
      <c r="A73" s="135" t="s">
        <v>349</v>
      </c>
      <c r="B73" s="441"/>
      <c r="C73" s="120"/>
      <c r="D73" s="120"/>
      <c r="E73" s="121"/>
      <c r="F73" s="120"/>
      <c r="G73" s="120"/>
      <c r="H73" s="120"/>
      <c r="I73" s="10"/>
    </row>
    <row r="74" spans="1:18" ht="16.5">
      <c r="A74" s="135" t="s">
        <v>503</v>
      </c>
      <c r="B74" s="120"/>
      <c r="C74" s="120"/>
      <c r="D74" s="120"/>
      <c r="E74" s="121"/>
      <c r="F74" s="120"/>
      <c r="G74" s="120"/>
      <c r="H74" s="120"/>
      <c r="I74" s="10"/>
    </row>
    <row r="75" spans="1:18">
      <c r="A75" s="135"/>
    </row>
    <row r="76" spans="1:18" ht="16.5">
      <c r="A76" s="438" t="s">
        <v>437</v>
      </c>
    </row>
    <row r="77" spans="1:18">
      <c r="A77" s="442" t="s">
        <v>481</v>
      </c>
    </row>
    <row r="78" spans="1:18" ht="16.5">
      <c r="A78" s="442" t="s">
        <v>482</v>
      </c>
      <c r="B78" s="406"/>
    </row>
    <row r="79" spans="1:18" ht="16.5">
      <c r="A79" s="479" t="s">
        <v>139</v>
      </c>
      <c r="B79" s="120"/>
      <c r="C79" s="120"/>
      <c r="D79" s="120"/>
      <c r="E79" s="121"/>
      <c r="F79" s="120"/>
      <c r="G79" s="120"/>
      <c r="H79" s="120"/>
      <c r="I79" s="10"/>
    </row>
    <row r="80" spans="1:18" ht="16.5">
      <c r="A80" s="119"/>
      <c r="B80" s="120"/>
      <c r="C80" s="120"/>
      <c r="D80" s="120"/>
      <c r="E80" s="121"/>
      <c r="F80" s="120"/>
      <c r="G80" s="120"/>
      <c r="H80" s="120"/>
      <c r="I80" s="10"/>
    </row>
    <row r="81" spans="1:9" ht="16.5">
      <c r="A81" s="438" t="s">
        <v>438</v>
      </c>
      <c r="B81" s="120"/>
      <c r="C81" s="120"/>
      <c r="D81" s="120"/>
      <c r="E81" s="121"/>
      <c r="F81" s="120"/>
      <c r="G81" s="120"/>
      <c r="H81" s="120"/>
      <c r="I81" s="10"/>
    </row>
    <row r="82" spans="1:9" ht="16.5">
      <c r="A82" s="442" t="s">
        <v>473</v>
      </c>
      <c r="B82" s="441"/>
      <c r="C82" s="441"/>
      <c r="D82" s="120"/>
      <c r="E82" s="121"/>
      <c r="F82" s="120"/>
      <c r="G82" s="120"/>
      <c r="H82" s="120"/>
      <c r="I82" s="10"/>
    </row>
    <row r="83" spans="1:9" ht="16.5">
      <c r="A83" s="479" t="s">
        <v>140</v>
      </c>
      <c r="B83" s="120"/>
      <c r="C83" s="120"/>
      <c r="D83" s="120"/>
      <c r="E83" s="121"/>
      <c r="F83" s="120"/>
      <c r="G83" s="120"/>
      <c r="H83" s="120"/>
      <c r="I83" s="10"/>
    </row>
    <row r="84" spans="1:9" ht="16.5">
      <c r="A84" s="135"/>
      <c r="B84" s="120"/>
      <c r="C84" s="120"/>
      <c r="D84" s="120"/>
      <c r="E84" s="121"/>
      <c r="F84" s="120"/>
      <c r="G84" s="120"/>
      <c r="H84" s="120"/>
      <c r="I84" s="10"/>
    </row>
    <row r="85" spans="1:9" ht="16.5">
      <c r="A85" s="438" t="s">
        <v>439</v>
      </c>
      <c r="B85" s="120"/>
      <c r="D85" s="120" t="s">
        <v>0</v>
      </c>
      <c r="E85" s="121"/>
      <c r="F85" s="120"/>
      <c r="G85" s="120"/>
      <c r="H85" s="120"/>
      <c r="I85" s="10"/>
    </row>
    <row r="86" spans="1:9" ht="16.5">
      <c r="A86" s="445" t="s">
        <v>474</v>
      </c>
      <c r="G86" s="120"/>
      <c r="H86" s="120"/>
      <c r="I86" s="120"/>
    </row>
    <row r="87" spans="1:9" ht="16.5">
      <c r="A87" s="440" t="s">
        <v>440</v>
      </c>
      <c r="C87" s="120"/>
      <c r="E87" s="121"/>
      <c r="F87" s="120"/>
      <c r="G87" s="120"/>
      <c r="H87" s="120"/>
      <c r="I87" s="10"/>
    </row>
    <row r="88" spans="1:9" ht="16.5">
      <c r="A88" s="444" t="s">
        <v>475</v>
      </c>
      <c r="B88" s="444"/>
      <c r="C88" s="120"/>
      <c r="D88" s="444"/>
      <c r="E88" s="121"/>
      <c r="F88" s="120"/>
      <c r="G88" s="120"/>
      <c r="H88" s="120"/>
      <c r="I88" s="10"/>
    </row>
    <row r="89" spans="1:9" ht="16.5">
      <c r="A89" s="479" t="s">
        <v>476</v>
      </c>
      <c r="B89" s="444"/>
      <c r="C89" s="120"/>
      <c r="D89" s="444"/>
      <c r="E89" s="121"/>
      <c r="F89" s="120"/>
      <c r="G89" s="120"/>
      <c r="H89" s="120"/>
      <c r="I89" s="10"/>
    </row>
    <row r="90" spans="1:9" ht="16.5">
      <c r="A90" s="479" t="s">
        <v>441</v>
      </c>
      <c r="B90" s="120"/>
      <c r="C90" s="120"/>
      <c r="D90" s="120"/>
      <c r="E90" s="121"/>
      <c r="F90" s="120"/>
      <c r="G90" s="120"/>
      <c r="H90" s="120"/>
      <c r="I90" s="10"/>
    </row>
    <row r="91" spans="1:9" ht="16.5">
      <c r="A91" s="135"/>
      <c r="B91" s="120"/>
      <c r="D91" s="120"/>
      <c r="E91" s="121"/>
      <c r="F91" s="120"/>
      <c r="G91" s="120"/>
      <c r="H91" s="120"/>
      <c r="I91" s="10"/>
    </row>
    <row r="92" spans="1:9" ht="16.5">
      <c r="A92" s="438" t="s">
        <v>442</v>
      </c>
      <c r="B92" s="120"/>
      <c r="D92" s="120"/>
      <c r="E92" s="121"/>
      <c r="F92" s="120"/>
      <c r="G92" s="120"/>
      <c r="H92" s="120"/>
      <c r="I92" s="10"/>
    </row>
    <row r="93" spans="1:9" ht="16.5">
      <c r="A93" s="442" t="s">
        <v>477</v>
      </c>
      <c r="B93" s="120"/>
      <c r="D93" s="120"/>
      <c r="E93" s="121"/>
      <c r="F93" s="120"/>
      <c r="G93" s="120"/>
      <c r="H93" s="120"/>
      <c r="I93" s="10"/>
    </row>
    <row r="94" spans="1:9" ht="16.5">
      <c r="A94" s="479" t="s">
        <v>443</v>
      </c>
      <c r="B94" s="120"/>
      <c r="C94" s="120"/>
      <c r="D94" s="120"/>
      <c r="E94" s="121"/>
      <c r="F94" s="120"/>
      <c r="G94" s="120"/>
      <c r="H94" s="120"/>
      <c r="I94" s="10"/>
    </row>
    <row r="95" spans="1:9" ht="16.5">
      <c r="A95" s="443"/>
      <c r="C95" s="120"/>
      <c r="D95" s="120"/>
      <c r="E95" s="121"/>
      <c r="F95" s="120"/>
      <c r="G95" s="120"/>
      <c r="H95" s="120"/>
      <c r="I95" s="10"/>
    </row>
    <row r="96" spans="1:9" ht="16.5">
      <c r="A96" s="438" t="s">
        <v>444</v>
      </c>
      <c r="B96" s="120"/>
      <c r="C96" s="120"/>
      <c r="D96" s="120"/>
      <c r="E96" s="121"/>
      <c r="F96" s="120"/>
      <c r="G96" s="120"/>
      <c r="H96" s="120"/>
      <c r="I96" s="10"/>
    </row>
    <row r="97" spans="1:9" ht="16.5">
      <c r="A97" s="446" t="s">
        <v>483</v>
      </c>
      <c r="B97" s="120"/>
      <c r="C97" s="120"/>
      <c r="D97" s="120"/>
      <c r="E97" s="121"/>
      <c r="F97" s="120"/>
      <c r="G97" s="120"/>
      <c r="H97" s="120"/>
      <c r="I97" s="10"/>
    </row>
    <row r="98" spans="1:9" ht="16.5">
      <c r="A98" s="447" t="s">
        <v>445</v>
      </c>
      <c r="B98" s="448"/>
      <c r="C98" s="120"/>
      <c r="D98" s="120"/>
      <c r="E98" s="121"/>
      <c r="F98" s="120"/>
      <c r="G98" s="120"/>
      <c r="H98" s="120"/>
      <c r="I98" s="10"/>
    </row>
    <row r="99" spans="1:9" ht="16.5">
      <c r="A99" s="479" t="s">
        <v>446</v>
      </c>
      <c r="B99" s="120"/>
      <c r="C99" s="120"/>
      <c r="D99" s="120"/>
      <c r="E99" s="121"/>
      <c r="F99" s="120"/>
      <c r="G99" s="120"/>
      <c r="H99" s="120"/>
      <c r="I99" s="10"/>
    </row>
    <row r="100" spans="1:9" ht="16.5">
      <c r="A100" s="449"/>
      <c r="B100" s="120"/>
      <c r="C100" s="120"/>
      <c r="D100" s="120"/>
      <c r="E100" s="121"/>
      <c r="F100" s="120"/>
      <c r="G100" s="120"/>
      <c r="H100" s="120"/>
      <c r="I100" s="10"/>
    </row>
    <row r="101" spans="1:9" ht="16.5">
      <c r="A101" s="438" t="s">
        <v>447</v>
      </c>
      <c r="B101" s="120"/>
      <c r="C101" s="120"/>
      <c r="D101" s="120"/>
      <c r="E101" s="121"/>
      <c r="F101" s="120"/>
      <c r="G101" s="120"/>
      <c r="H101" s="120"/>
      <c r="I101" s="10"/>
    </row>
    <row r="102" spans="1:9" ht="16.5">
      <c r="A102" s="446" t="s">
        <v>483</v>
      </c>
      <c r="B102" s="120"/>
      <c r="C102" s="120"/>
      <c r="D102" s="120"/>
      <c r="E102" s="121"/>
      <c r="F102" s="120"/>
      <c r="G102" s="120"/>
      <c r="H102" s="120"/>
      <c r="I102" s="10"/>
    </row>
    <row r="103" spans="1:9" ht="16.5">
      <c r="A103" s="447" t="s">
        <v>496</v>
      </c>
      <c r="B103" s="120"/>
      <c r="C103" s="120"/>
      <c r="D103" s="120"/>
      <c r="E103" s="121"/>
      <c r="F103" s="120"/>
      <c r="G103" s="120"/>
      <c r="H103" s="120"/>
      <c r="I103" s="10"/>
    </row>
    <row r="104" spans="1:9" ht="16.5">
      <c r="A104" s="444" t="s">
        <v>484</v>
      </c>
      <c r="B104" s="120"/>
      <c r="C104" s="120"/>
      <c r="D104" s="120"/>
      <c r="E104" s="121"/>
      <c r="F104" s="120"/>
      <c r="G104" s="120"/>
      <c r="H104" s="120"/>
      <c r="I104" s="10"/>
    </row>
    <row r="105" spans="1:9">
      <c r="A105" s="449"/>
    </row>
    <row r="106" spans="1:9" ht="16.5">
      <c r="A106" s="407" t="s">
        <v>501</v>
      </c>
    </row>
    <row r="107" spans="1:9" ht="16.5">
      <c r="A107" s="444" t="s">
        <v>455</v>
      </c>
    </row>
    <row r="108" spans="1:9">
      <c r="A108" s="479" t="s">
        <v>502</v>
      </c>
    </row>
  </sheetData>
  <hyperlinks>
    <hyperlink ref="A73" r:id="rId1" xr:uid="{B702F30B-F142-4F17-A72C-3FB37EF81DAA}"/>
    <hyperlink ref="A79" r:id="rId2" xr:uid="{B28D8BAB-5190-46B7-9869-09095184287A}"/>
    <hyperlink ref="A83" r:id="rId3" xr:uid="{E642F01C-E74C-4A01-9050-60265D98EE27}"/>
    <hyperlink ref="A94" r:id="rId4" xr:uid="{9E5D0A3C-0EDD-497B-9688-949071FCC999}"/>
    <hyperlink ref="A99" r:id="rId5" xr:uid="{6FEEA969-127B-4888-91C4-F91B599B5879}"/>
    <hyperlink ref="A104" r:id="rId6" display="https://www.federalreserve.gov/monetarypolicy/files/fomcprojtabl20241218.pd" xr:uid="{BDE82D90-300B-4397-9FFF-D3BBBC3E0FFE}"/>
    <hyperlink ref="A89" r:id="rId7" xr:uid="{DFAABDFD-7973-40EE-B583-3A9D659E3BC4}"/>
    <hyperlink ref="A88" r:id="rId8" display="https://www.cbo.gov/system/files/2025-01/60870-Outlook-2025.pdf" xr:uid="{E2A3B4D2-1B6A-46FE-AC64-CF835E844F56}"/>
    <hyperlink ref="A90" r:id="rId9" xr:uid="{07881825-0E6D-483D-A488-67953A0B5AEC}"/>
    <hyperlink ref="A87" r:id="rId10" location="4" display="https://www.cbo.gov/data/budget-economic-data - 4" xr:uid="{35FD022E-4795-4A31-848C-F2ED2723151D}"/>
    <hyperlink ref="A67" r:id="rId11" xr:uid="{E2D64930-2FB2-4E63-A245-AEA83840224E}"/>
    <hyperlink ref="A107" r:id="rId12" xr:uid="{3AD1D804-2F03-492F-8F2E-6AFB362B997B}"/>
    <hyperlink ref="A108" r:id="rId13" xr:uid="{236AA393-7B40-4966-96F8-F678CBD5CEBD}"/>
    <hyperlink ref="A74" r:id="rId14" xr:uid="{56FA1CDA-D3B9-4E2E-B577-1A4424D33331}"/>
  </hyperlinks>
  <pageMargins left="0.25" right="0.25" top="0.75" bottom="0.75" header="0.3" footer="0.3"/>
  <pageSetup scale="27" fitToWidth="0" orientation="portrait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A5351-B8B7-4871-B730-B19F4410B2B8}">
  <sheetPr>
    <tabColor rgb="FF92D050"/>
    <pageSetUpPr fitToPage="1"/>
  </sheetPr>
  <dimension ref="A1:I107"/>
  <sheetViews>
    <sheetView view="pageBreakPreview" topLeftCell="A15" zoomScale="70" zoomScaleNormal="80" zoomScaleSheetLayoutView="70" workbookViewId="0">
      <selection activeCell="D53" sqref="D53"/>
    </sheetView>
  </sheetViews>
  <sheetFormatPr defaultRowHeight="15"/>
  <cols>
    <col min="1" max="1" width="45.5703125" customWidth="1"/>
    <col min="2" max="2" width="16" customWidth="1"/>
    <col min="3" max="3" width="72.140625" customWidth="1"/>
    <col min="4" max="4" width="34.5703125" customWidth="1"/>
    <col min="5" max="5" width="21.5703125" customWidth="1"/>
    <col min="6" max="6" width="18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42578125" customWidth="1"/>
    <col min="12" max="12" width="24.140625" customWidth="1"/>
  </cols>
  <sheetData>
    <row r="1" spans="1:9" ht="26.25">
      <c r="A1" s="21" t="s">
        <v>1</v>
      </c>
      <c r="B1" s="10"/>
      <c r="C1" s="10"/>
      <c r="D1" s="10"/>
      <c r="E1" s="10"/>
      <c r="F1" s="10"/>
      <c r="G1" s="10"/>
      <c r="H1" s="10"/>
      <c r="I1" s="10"/>
    </row>
    <row r="2" spans="1:9" ht="17.25">
      <c r="A2" s="58" t="s">
        <v>9</v>
      </c>
      <c r="B2" s="10"/>
      <c r="C2" s="10"/>
      <c r="D2" s="10"/>
      <c r="E2" s="10"/>
      <c r="F2" s="10"/>
      <c r="G2" s="10"/>
      <c r="H2" s="10"/>
      <c r="I2" s="10"/>
    </row>
    <row r="3" spans="1:9" ht="16.5">
      <c r="A3" s="40" t="s">
        <v>465</v>
      </c>
      <c r="B3" s="10"/>
      <c r="C3" s="10"/>
      <c r="D3" s="10"/>
      <c r="E3" s="10"/>
      <c r="F3" s="10"/>
      <c r="G3" s="10"/>
      <c r="H3" s="10"/>
      <c r="I3" s="10"/>
    </row>
    <row r="4" spans="1:9" ht="16.5">
      <c r="A4" s="10"/>
      <c r="B4" s="10"/>
      <c r="C4" s="10"/>
      <c r="D4" s="10"/>
      <c r="E4" s="10"/>
      <c r="F4" s="10"/>
      <c r="G4" s="10"/>
      <c r="H4" s="10"/>
      <c r="I4" s="10"/>
    </row>
    <row r="5" spans="1:9" ht="18" thickBot="1">
      <c r="A5" s="58"/>
      <c r="B5" s="10"/>
      <c r="C5" s="10"/>
      <c r="D5" s="10"/>
      <c r="E5" s="10"/>
      <c r="F5" s="10"/>
      <c r="G5" s="10"/>
      <c r="H5" s="10"/>
      <c r="I5" s="10"/>
    </row>
    <row r="6" spans="1:9" ht="21" thickBot="1">
      <c r="A6" s="226" t="str">
        <f>+'S&amp;D'!A12</f>
        <v>Air Passenger Carriers</v>
      </c>
      <c r="B6" s="167"/>
      <c r="C6" s="10"/>
      <c r="D6" s="10"/>
      <c r="E6" s="10"/>
      <c r="F6" s="10"/>
      <c r="G6" s="10"/>
      <c r="H6" s="10"/>
      <c r="I6" s="10"/>
    </row>
    <row r="7" spans="1:9" ht="20.25">
      <c r="A7" s="27"/>
      <c r="B7" s="10"/>
      <c r="C7" s="10"/>
      <c r="D7" s="10"/>
      <c r="E7" s="10"/>
      <c r="F7" s="10"/>
      <c r="G7" s="10"/>
      <c r="H7" s="10"/>
      <c r="I7" s="10"/>
    </row>
    <row r="8" spans="1:9" ht="18" thickBot="1">
      <c r="A8" s="58"/>
      <c r="B8" s="10"/>
      <c r="C8" s="26"/>
      <c r="E8" s="10"/>
      <c r="F8" s="10"/>
      <c r="G8" s="10"/>
      <c r="H8" s="10"/>
      <c r="I8" s="10"/>
    </row>
    <row r="9" spans="1:9" ht="26.25">
      <c r="B9" s="10"/>
      <c r="C9" s="28" t="s">
        <v>147</v>
      </c>
      <c r="E9" s="10"/>
      <c r="F9" s="10"/>
      <c r="G9" s="10"/>
      <c r="H9" s="10"/>
      <c r="I9" s="10"/>
    </row>
    <row r="10" spans="1:9" ht="21" thickBot="1">
      <c r="A10" s="27"/>
      <c r="B10" s="10"/>
      <c r="C10" s="29" t="s">
        <v>478</v>
      </c>
      <c r="E10" s="10"/>
      <c r="F10" s="10"/>
      <c r="G10" s="10"/>
      <c r="H10" s="10"/>
      <c r="I10" s="10"/>
    </row>
    <row r="11" spans="1:9" ht="20.25">
      <c r="A11" s="27"/>
      <c r="B11" s="10"/>
      <c r="C11" s="10"/>
      <c r="D11" s="10"/>
      <c r="E11" s="10"/>
      <c r="F11" s="10"/>
      <c r="G11" s="10"/>
      <c r="H11" s="10"/>
      <c r="I11" s="10"/>
    </row>
    <row r="12" spans="1:9" ht="25.5" customHeight="1" thickBot="1">
      <c r="A12" s="10"/>
      <c r="B12" s="10"/>
      <c r="C12" s="10"/>
      <c r="D12" s="10"/>
      <c r="E12" s="10"/>
      <c r="F12" s="10"/>
      <c r="G12" s="10"/>
      <c r="H12" s="10"/>
      <c r="I12" s="10"/>
    </row>
    <row r="13" spans="1:9" ht="16.5">
      <c r="A13" s="10"/>
      <c r="B13" s="10"/>
      <c r="C13" s="74" t="s">
        <v>0</v>
      </c>
      <c r="D13" s="74" t="s">
        <v>180</v>
      </c>
      <c r="E13" s="10"/>
      <c r="F13" s="10"/>
      <c r="G13" s="10"/>
      <c r="H13" s="10"/>
      <c r="I13" s="10"/>
    </row>
    <row r="14" spans="1:9" ht="21" thickBot="1">
      <c r="A14" s="10"/>
      <c r="B14" s="10"/>
      <c r="C14" s="327" t="s">
        <v>146</v>
      </c>
      <c r="D14" s="76" t="s">
        <v>254</v>
      </c>
      <c r="E14" s="10"/>
      <c r="F14" s="10"/>
      <c r="G14" s="10"/>
      <c r="H14" s="10"/>
      <c r="I14" s="10"/>
    </row>
    <row r="15" spans="1:9" ht="17.25">
      <c r="A15" s="10"/>
      <c r="B15" s="10"/>
      <c r="C15" s="342" t="s">
        <v>386</v>
      </c>
      <c r="D15" s="343">
        <f>+CAPM!F16</f>
        <v>9.1023999999999994E-2</v>
      </c>
      <c r="E15" s="332"/>
      <c r="F15" s="10"/>
      <c r="G15" s="10"/>
      <c r="H15" s="10"/>
      <c r="I15" s="10"/>
    </row>
    <row r="16" spans="1:9" ht="17.25">
      <c r="A16" s="10"/>
      <c r="B16" s="10"/>
      <c r="C16" s="237" t="s">
        <v>385</v>
      </c>
      <c r="D16" s="344">
        <f>+CAPM!F17</f>
        <v>9.1607999999999995E-2</v>
      </c>
      <c r="E16" s="332"/>
      <c r="F16" s="10"/>
      <c r="G16" s="10"/>
      <c r="H16" s="10"/>
      <c r="I16" s="10"/>
    </row>
    <row r="17" spans="1:9" ht="17.25">
      <c r="A17" s="10"/>
      <c r="B17" s="10"/>
      <c r="C17" s="237" t="s">
        <v>400</v>
      </c>
      <c r="D17" s="344">
        <f>+CAPM!F19</f>
        <v>0.10985799999999998</v>
      </c>
      <c r="E17" s="332"/>
      <c r="F17" s="10"/>
      <c r="G17" s="10"/>
      <c r="H17" s="10"/>
      <c r="I17" s="10"/>
    </row>
    <row r="18" spans="1:9" ht="17.25">
      <c r="A18" s="10"/>
      <c r="B18" s="10"/>
      <c r="C18" s="237" t="s">
        <v>414</v>
      </c>
      <c r="D18" s="344">
        <f>+CAPM!F20</f>
        <v>0.13832800000000001</v>
      </c>
      <c r="E18" s="332"/>
      <c r="F18" s="10"/>
      <c r="G18" s="10"/>
      <c r="H18" s="10"/>
      <c r="I18" s="10"/>
    </row>
    <row r="19" spans="1:9" ht="17.25">
      <c r="A19" s="10"/>
      <c r="B19" s="10"/>
      <c r="C19" s="237" t="s">
        <v>401</v>
      </c>
      <c r="D19" s="344">
        <f>+CAPM!F21</f>
        <v>0.10591600000000001</v>
      </c>
      <c r="E19" s="332"/>
      <c r="F19" s="10"/>
      <c r="G19" s="10"/>
      <c r="H19" s="10"/>
      <c r="I19" s="10"/>
    </row>
    <row r="20" spans="1:9" ht="17.25">
      <c r="A20" s="10"/>
      <c r="B20" s="10"/>
      <c r="C20" s="237" t="s">
        <v>402</v>
      </c>
      <c r="D20" s="344">
        <f>+CAPM!F22</f>
        <v>0.100952</v>
      </c>
      <c r="E20" s="332"/>
      <c r="F20" s="10"/>
      <c r="G20" s="10"/>
      <c r="H20" s="10"/>
      <c r="I20" s="10"/>
    </row>
    <row r="21" spans="1:9" ht="17.25">
      <c r="A21" s="10"/>
      <c r="B21" s="10"/>
      <c r="C21" s="237" t="s">
        <v>148</v>
      </c>
      <c r="D21" s="344">
        <f>+CAPM!F24</f>
        <v>0.13000599999999998</v>
      </c>
      <c r="E21" s="332"/>
      <c r="F21" s="10"/>
      <c r="G21" s="10"/>
      <c r="H21" s="10"/>
      <c r="I21" s="10"/>
    </row>
    <row r="22" spans="1:9" ht="17.25">
      <c r="A22" s="10"/>
      <c r="B22" s="10"/>
      <c r="C22" s="237" t="s">
        <v>149</v>
      </c>
      <c r="D22" s="344">
        <f>+CAPM!F26</f>
        <v>0.12839999999999999</v>
      </c>
      <c r="E22" s="332"/>
      <c r="F22" s="10"/>
      <c r="G22" s="10"/>
      <c r="H22" s="10"/>
      <c r="I22" s="10"/>
    </row>
    <row r="23" spans="1:9" ht="17.25">
      <c r="A23" s="10"/>
      <c r="B23" s="10"/>
      <c r="C23" s="237" t="s">
        <v>150</v>
      </c>
      <c r="D23" s="344">
        <f>+CAPM!F28</f>
        <v>0.147088</v>
      </c>
      <c r="E23" s="367"/>
      <c r="G23" s="10"/>
      <c r="H23" s="10"/>
      <c r="I23" s="10"/>
    </row>
    <row r="24" spans="1:9" ht="17.25">
      <c r="A24" s="10"/>
      <c r="B24" s="10"/>
      <c r="C24" s="354" t="s">
        <v>151</v>
      </c>
      <c r="D24" s="344">
        <f>+CAPM!F29</f>
        <v>0.12898399999999999</v>
      </c>
      <c r="E24" s="367"/>
      <c r="G24" s="10"/>
      <c r="H24" s="10"/>
      <c r="I24" s="10"/>
    </row>
    <row r="25" spans="1:9" ht="17.25">
      <c r="A25" s="10"/>
      <c r="B25" s="10"/>
      <c r="C25" s="355" t="s">
        <v>403</v>
      </c>
      <c r="D25" s="344">
        <f>+CAPM!F31</f>
        <v>0.15570200000000001</v>
      </c>
      <c r="E25" s="367"/>
      <c r="G25" s="10"/>
      <c r="H25" s="10"/>
      <c r="I25" s="10"/>
    </row>
    <row r="26" spans="1:9" ht="17.25">
      <c r="A26" s="10"/>
      <c r="B26" s="10"/>
      <c r="C26" s="355" t="s">
        <v>404</v>
      </c>
      <c r="D26" s="344">
        <f>+CAPM!F32</f>
        <v>0.14022599999999999</v>
      </c>
      <c r="E26" s="345"/>
      <c r="F26" s="10"/>
      <c r="G26" s="10"/>
      <c r="H26" s="10"/>
      <c r="I26" s="10"/>
    </row>
    <row r="27" spans="1:9" ht="17.25">
      <c r="A27" s="10"/>
      <c r="B27" s="10"/>
      <c r="C27" s="355" t="s">
        <v>405</v>
      </c>
      <c r="D27" s="344">
        <f>+CAPM!F33</f>
        <v>0.12109999999999999</v>
      </c>
      <c r="E27" s="345"/>
      <c r="F27" s="10"/>
      <c r="G27" s="10"/>
      <c r="H27" s="10"/>
      <c r="I27" s="10"/>
    </row>
    <row r="28" spans="1:9" ht="17.25">
      <c r="A28" s="10"/>
      <c r="B28" s="10"/>
      <c r="C28" s="354" t="s">
        <v>383</v>
      </c>
      <c r="D28" s="344">
        <f>+CAPM!G42</f>
        <v>8.7642999999999999E-2</v>
      </c>
      <c r="E28" s="332"/>
      <c r="F28" s="10"/>
      <c r="G28" s="10"/>
      <c r="H28" s="10"/>
      <c r="I28" s="10"/>
    </row>
    <row r="29" spans="1:9" ht="17.25">
      <c r="A29" s="10"/>
      <c r="B29" s="10"/>
      <c r="C29" s="354" t="s">
        <v>384</v>
      </c>
      <c r="D29" s="344">
        <f>+CAPM!G43</f>
        <v>8.8180999999999995E-2</v>
      </c>
      <c r="E29" s="332"/>
      <c r="F29" s="10"/>
      <c r="G29" s="10"/>
      <c r="H29" s="10"/>
      <c r="I29" s="10"/>
    </row>
    <row r="30" spans="1:9" ht="17.25">
      <c r="A30" s="10"/>
      <c r="B30" s="10"/>
      <c r="C30" s="237" t="s">
        <v>406</v>
      </c>
      <c r="D30" s="344">
        <f>+CAPM!G45</f>
        <v>0.10499349999999999</v>
      </c>
      <c r="E30" s="332"/>
      <c r="F30" s="10"/>
      <c r="G30" s="10"/>
      <c r="H30" s="10"/>
      <c r="I30" s="10"/>
    </row>
    <row r="31" spans="1:9" ht="17.25">
      <c r="A31" s="10"/>
      <c r="B31" s="10"/>
      <c r="C31" s="237" t="s">
        <v>415</v>
      </c>
      <c r="D31" s="344">
        <f>+CAPM!G46</f>
        <v>0.131221</v>
      </c>
      <c r="E31" s="332"/>
      <c r="F31" s="10"/>
      <c r="G31" s="10"/>
      <c r="H31" s="10"/>
      <c r="I31" s="10"/>
    </row>
    <row r="32" spans="1:9" ht="17.25">
      <c r="A32" s="10"/>
      <c r="B32" s="10"/>
      <c r="C32" s="237" t="s">
        <v>407</v>
      </c>
      <c r="D32" s="344">
        <f>+CAPM!G47</f>
        <v>0.10136200000000001</v>
      </c>
      <c r="E32" s="332"/>
      <c r="F32" s="10"/>
      <c r="G32" s="10"/>
      <c r="H32" s="10"/>
      <c r="I32" s="10"/>
    </row>
    <row r="33" spans="1:9" ht="17.25">
      <c r="A33" s="10"/>
      <c r="B33" s="10"/>
      <c r="C33" s="237" t="s">
        <v>408</v>
      </c>
      <c r="D33" s="344">
        <f>+CAPM!G48</f>
        <v>9.6789E-2</v>
      </c>
      <c r="E33" s="332"/>
      <c r="F33" s="10"/>
      <c r="G33" s="10"/>
      <c r="H33" s="10"/>
      <c r="I33" s="10"/>
    </row>
    <row r="34" spans="1:9" ht="17.25">
      <c r="A34" s="10"/>
      <c r="B34" s="10"/>
      <c r="C34" s="354" t="s">
        <v>152</v>
      </c>
      <c r="D34" s="344">
        <f>+CAPM!G50</f>
        <v>0.12355449999999998</v>
      </c>
      <c r="E34" s="332"/>
      <c r="F34" s="10"/>
      <c r="G34" s="10"/>
      <c r="H34" s="10"/>
      <c r="I34" s="10"/>
    </row>
    <row r="35" spans="1:9" ht="17.25">
      <c r="A35" s="10"/>
      <c r="B35" s="10"/>
      <c r="C35" s="354" t="s">
        <v>153</v>
      </c>
      <c r="D35" s="344">
        <f>+CAPM!G52</f>
        <v>0.12207499999999999</v>
      </c>
      <c r="E35" s="332"/>
      <c r="F35" s="10"/>
      <c r="G35" s="10"/>
      <c r="H35" s="10"/>
      <c r="I35" s="10"/>
    </row>
    <row r="36" spans="1:9" ht="17.25">
      <c r="A36" s="10"/>
      <c r="B36" s="10"/>
      <c r="C36" s="355" t="s">
        <v>154</v>
      </c>
      <c r="D36" s="344">
        <f>+CAPM!G54</f>
        <v>0.139291</v>
      </c>
      <c r="E36" s="332"/>
      <c r="F36" s="10"/>
      <c r="G36" s="10"/>
      <c r="H36" s="10"/>
      <c r="I36" s="10"/>
    </row>
    <row r="37" spans="1:9" ht="17.25">
      <c r="A37" s="10"/>
      <c r="B37" s="10"/>
      <c r="C37" s="354" t="s">
        <v>155</v>
      </c>
      <c r="D37" s="344">
        <f>+CAPM!G55</f>
        <v>0.122613</v>
      </c>
      <c r="E37" s="332"/>
      <c r="F37" s="10"/>
      <c r="G37" s="10"/>
      <c r="H37" s="10"/>
      <c r="I37" s="10"/>
    </row>
    <row r="38" spans="1:9" ht="16.5" customHeight="1">
      <c r="A38" s="10"/>
      <c r="B38" s="10"/>
      <c r="C38" s="355" t="s">
        <v>409</v>
      </c>
      <c r="D38" s="344">
        <f>+CAPM!G57</f>
        <v>0.14722650000000001</v>
      </c>
      <c r="E38" s="332" t="s">
        <v>0</v>
      </c>
      <c r="F38" s="10"/>
      <c r="G38" s="10"/>
      <c r="H38" s="10"/>
      <c r="I38" s="10"/>
    </row>
    <row r="39" spans="1:9" ht="16.5" customHeight="1">
      <c r="A39" s="10"/>
      <c r="B39" s="10"/>
      <c r="C39" s="355" t="s">
        <v>410</v>
      </c>
      <c r="D39" s="344">
        <f>+CAPM!G58</f>
        <v>0.13296949999999999</v>
      </c>
      <c r="E39" s="332"/>
      <c r="F39" s="10"/>
      <c r="G39" s="10"/>
      <c r="H39" s="10"/>
      <c r="I39" s="10"/>
    </row>
    <row r="40" spans="1:9" ht="18.75" customHeight="1">
      <c r="A40" s="10"/>
      <c r="B40" s="10"/>
      <c r="C40" s="355" t="s">
        <v>411</v>
      </c>
      <c r="D40" s="344">
        <f>+CAPM!G59</f>
        <v>0.11534999999999998</v>
      </c>
      <c r="E40" s="346"/>
      <c r="F40" s="10"/>
      <c r="G40" s="10"/>
      <c r="H40" s="10"/>
      <c r="I40" s="10"/>
    </row>
    <row r="41" spans="1:9" ht="18.75" customHeight="1">
      <c r="A41" s="10"/>
      <c r="B41" s="10"/>
      <c r="C41" s="373" t="s">
        <v>393</v>
      </c>
      <c r="D41" s="374" t="s">
        <v>380</v>
      </c>
      <c r="E41" s="346"/>
      <c r="F41" s="10"/>
      <c r="G41" s="10"/>
      <c r="H41" s="10"/>
      <c r="I41" s="10"/>
    </row>
    <row r="42" spans="1:9" ht="21.75" customHeight="1">
      <c r="A42" s="10"/>
      <c r="B42" s="10"/>
      <c r="C42" s="325" t="s">
        <v>226</v>
      </c>
      <c r="D42" s="353">
        <f>+'Single Stage Div Growth Model'!I31</f>
        <v>0.1784</v>
      </c>
      <c r="E42" s="367"/>
      <c r="G42" s="10"/>
      <c r="H42" s="10"/>
      <c r="I42" s="10"/>
    </row>
    <row r="43" spans="1:9" ht="21.75" customHeight="1">
      <c r="A43" s="10"/>
      <c r="B43" s="10"/>
      <c r="C43" s="325" t="s">
        <v>225</v>
      </c>
      <c r="D43" s="326">
        <f>+'Single Stage Div Growth Model'!I33</f>
        <v>0.1792</v>
      </c>
      <c r="G43" s="10"/>
      <c r="H43" s="10"/>
      <c r="I43" s="10"/>
    </row>
    <row r="44" spans="1:9" ht="21.75" customHeight="1">
      <c r="A44" s="10"/>
      <c r="B44" s="10"/>
      <c r="C44" s="347" t="s">
        <v>227</v>
      </c>
      <c r="D44" s="348">
        <f>+'Two-Stage Div Growth Model'!H35</f>
        <v>0.14810000000000001</v>
      </c>
      <c r="G44" s="77" t="s">
        <v>0</v>
      </c>
      <c r="H44" s="10"/>
      <c r="I44" s="10"/>
    </row>
    <row r="45" spans="1:9" ht="21.75" customHeight="1">
      <c r="A45" s="10"/>
      <c r="B45" s="10"/>
      <c r="C45" s="315" t="s">
        <v>331</v>
      </c>
      <c r="D45" s="316">
        <f>+'Direct NOPAT'!G61</f>
        <v>0.2024</v>
      </c>
      <c r="E45" s="349" t="s">
        <v>0</v>
      </c>
      <c r="F45" s="10"/>
      <c r="G45" s="10"/>
      <c r="H45" s="10"/>
      <c r="I45" s="10"/>
    </row>
    <row r="46" spans="1:9" ht="17.25" thickBot="1">
      <c r="A46" s="10"/>
      <c r="B46" s="10"/>
      <c r="C46" s="10"/>
      <c r="D46" s="66"/>
      <c r="E46" s="10"/>
      <c r="F46" s="10"/>
      <c r="G46" s="10"/>
      <c r="H46" s="10"/>
      <c r="I46" s="10"/>
    </row>
    <row r="47" spans="1:9" ht="17.25" thickTop="1">
      <c r="A47" s="10"/>
      <c r="B47" s="10"/>
      <c r="C47" s="12" t="s">
        <v>45</v>
      </c>
      <c r="D47" s="48">
        <f>MAX(D15:D44)</f>
        <v>0.1792</v>
      </c>
      <c r="E47" s="134"/>
      <c r="F47" s="10"/>
      <c r="G47" s="10"/>
      <c r="H47" s="10"/>
      <c r="I47" s="10"/>
    </row>
    <row r="48" spans="1:9" ht="16.5">
      <c r="A48" s="10"/>
      <c r="B48" s="10"/>
      <c r="C48" s="12" t="s">
        <v>46</v>
      </c>
      <c r="D48" s="276">
        <f>MIN(D15:D44)</f>
        <v>8.7642999999999999E-2</v>
      </c>
      <c r="E48" s="10"/>
      <c r="F48" s="10"/>
      <c r="G48" s="48"/>
      <c r="H48" s="48"/>
      <c r="I48" s="48"/>
    </row>
    <row r="49" spans="1:9" ht="16.5">
      <c r="A49" s="10"/>
      <c r="B49" s="10"/>
      <c r="C49" s="12" t="s">
        <v>18</v>
      </c>
      <c r="D49" s="77">
        <f>MEDIAN(D15:D44)</f>
        <v>0.12355449999999998</v>
      </c>
      <c r="E49" s="77"/>
      <c r="F49" s="77"/>
      <c r="G49" s="77"/>
      <c r="H49" s="77"/>
      <c r="I49" s="77"/>
    </row>
    <row r="50" spans="1:9" ht="16.5">
      <c r="A50" s="10"/>
      <c r="B50" s="10"/>
      <c r="C50" s="12" t="s">
        <v>387</v>
      </c>
      <c r="D50" s="78">
        <f>AVERAGE(D15:D44)</f>
        <v>0.12441934482758618</v>
      </c>
      <c r="E50" s="78"/>
      <c r="F50" s="78"/>
      <c r="G50" s="78"/>
      <c r="H50" s="78"/>
      <c r="I50" s="78"/>
    </row>
    <row r="51" spans="1:9" ht="16.5">
      <c r="A51" s="10"/>
      <c r="B51" s="10"/>
      <c r="C51" s="12"/>
      <c r="D51" s="78"/>
      <c r="E51" s="78"/>
      <c r="F51" s="78"/>
      <c r="G51" s="78"/>
      <c r="H51" s="78"/>
      <c r="I51" s="78"/>
    </row>
    <row r="52" spans="1:9" ht="17.25" thickBot="1">
      <c r="A52" s="10"/>
      <c r="B52" s="10"/>
      <c r="C52" s="10"/>
      <c r="D52" s="10" t="s">
        <v>182</v>
      </c>
      <c r="E52" s="10"/>
      <c r="F52" s="10"/>
      <c r="G52" s="10"/>
      <c r="H52" s="10"/>
      <c r="I52" s="10"/>
    </row>
    <row r="53" spans="1:9" ht="27" thickBot="1">
      <c r="A53" s="10"/>
      <c r="B53" s="10"/>
      <c r="C53" s="174" t="s">
        <v>234</v>
      </c>
      <c r="D53" s="366">
        <v>0.1244</v>
      </c>
      <c r="E53" s="79"/>
      <c r="F53" s="79"/>
    </row>
    <row r="54" spans="1:9" ht="16.5">
      <c r="A54" s="10"/>
      <c r="B54" s="10"/>
      <c r="C54" s="10"/>
      <c r="D54" s="10"/>
      <c r="E54" s="10"/>
      <c r="F54" s="10"/>
    </row>
    <row r="55" spans="1:9" ht="17.25">
      <c r="A55" s="101" t="s">
        <v>0</v>
      </c>
      <c r="B55" s="10"/>
      <c r="C55" s="10"/>
      <c r="D55" s="10"/>
      <c r="E55" s="10"/>
      <c r="F55" s="10"/>
      <c r="G55" s="10"/>
      <c r="H55" s="10"/>
      <c r="I55" s="10"/>
    </row>
    <row r="56" spans="1:9" ht="17.25">
      <c r="A56" s="101" t="s">
        <v>0</v>
      </c>
      <c r="B56" s="10"/>
      <c r="C56" s="10"/>
      <c r="D56" s="10"/>
      <c r="E56" s="10"/>
      <c r="F56" s="10"/>
      <c r="G56" s="10"/>
      <c r="H56" s="10"/>
      <c r="I56" s="10"/>
    </row>
    <row r="57" spans="1:9" ht="16.5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16.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16.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6.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6.5">
      <c r="A61" s="10"/>
      <c r="B61" s="10"/>
      <c r="C61" s="10"/>
      <c r="D61" s="10" t="s">
        <v>0</v>
      </c>
      <c r="E61" s="10"/>
      <c r="F61" s="10"/>
      <c r="G61" s="10"/>
      <c r="H61" s="10"/>
      <c r="I61" s="10"/>
    </row>
    <row r="62" spans="1:9" ht="16.5">
      <c r="A62" s="10"/>
      <c r="B62" s="10"/>
      <c r="C62" s="10"/>
      <c r="D62" s="10" t="s">
        <v>0</v>
      </c>
      <c r="E62" s="10"/>
      <c r="F62" s="10"/>
      <c r="G62" s="10"/>
      <c r="H62" s="10"/>
      <c r="I62" s="10"/>
    </row>
    <row r="63" spans="1:9" ht="16.5">
      <c r="A63" s="10"/>
      <c r="B63" s="10"/>
      <c r="C63" s="10"/>
      <c r="D63" s="10"/>
      <c r="E63" s="10"/>
      <c r="F63" s="10"/>
      <c r="G63" s="10"/>
      <c r="H63" s="10"/>
      <c r="I63" s="10"/>
    </row>
    <row r="64" spans="1:9" ht="16.5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6.5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6.5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6.5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6.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6.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6.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6.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6.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6.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6.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6.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6.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6.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6.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6.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6.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6.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6.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6.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6.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6.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6.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6.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6.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6.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6.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6.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6.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6.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6.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6.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6.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6.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ht="16.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ht="16.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ht="16.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ht="16.5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ht="16.5">
      <c r="A107" s="10"/>
      <c r="B107" s="10"/>
      <c r="C107" s="10"/>
      <c r="D107" s="10"/>
      <c r="E107" s="10"/>
      <c r="F107" s="10"/>
      <c r="G107" s="10"/>
      <c r="H107" s="10"/>
      <c r="I107" s="10"/>
    </row>
  </sheetData>
  <pageMargins left="0.25" right="0.25" top="0.75" bottom="0.75" header="0.3" footer="0.3"/>
  <pageSetup scale="4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46"/>
  <sheetViews>
    <sheetView view="pageBreakPreview" zoomScale="70" zoomScaleNormal="80" zoomScaleSheetLayoutView="70" workbookViewId="0">
      <selection activeCell="I24" activeCellId="12" sqref="G6 F17:G17 I17:J17 I18:I20 F19:G19 J19 G20 F21:J21 F22:G22 I22:J22 J23 F24:G24 I24:J24"/>
    </sheetView>
  </sheetViews>
  <sheetFormatPr defaultRowHeight="15"/>
  <cols>
    <col min="1" max="1" width="45.140625" customWidth="1"/>
    <col min="2" max="2" width="10.85546875" bestFit="1" customWidth="1"/>
    <col min="3" max="3" width="19.140625" bestFit="1" customWidth="1"/>
    <col min="4" max="4" width="15.42578125" customWidth="1"/>
    <col min="5" max="5" width="27.140625" customWidth="1"/>
    <col min="6" max="6" width="22" customWidth="1"/>
    <col min="7" max="7" width="29.425781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21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>
      <c r="A2" s="22" t="s">
        <v>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6.5">
      <c r="A3" s="23" t="s">
        <v>465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6.5">
      <c r="A4" s="23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7.25" thickBot="1">
      <c r="A5" s="10"/>
      <c r="B5" s="10"/>
      <c r="C5" s="10"/>
      <c r="D5" s="10"/>
      <c r="E5" s="10"/>
      <c r="F5" s="10" t="s">
        <v>0</v>
      </c>
      <c r="G5" s="10"/>
      <c r="H5" s="24"/>
      <c r="I5" s="10"/>
      <c r="J5" s="10"/>
      <c r="K5" s="10"/>
    </row>
    <row r="6" spans="1:11" ht="18" thickBot="1">
      <c r="A6" s="228" t="str">
        <f>+'S&amp;D'!A12</f>
        <v>Air Passenger Carriers</v>
      </c>
      <c r="B6" s="167"/>
      <c r="C6" s="10"/>
      <c r="D6" s="26"/>
      <c r="E6" s="26"/>
      <c r="F6" s="26"/>
      <c r="G6" s="497" t="s">
        <v>0</v>
      </c>
      <c r="H6" s="26"/>
      <c r="I6" s="10"/>
      <c r="J6" s="10"/>
      <c r="K6" s="10"/>
    </row>
    <row r="7" spans="1:11" ht="26.25">
      <c r="A7" s="27"/>
      <c r="B7" s="10"/>
      <c r="C7" s="10"/>
      <c r="D7" s="10"/>
      <c r="E7" s="10"/>
      <c r="F7" s="28" t="s">
        <v>382</v>
      </c>
      <c r="G7" s="10"/>
      <c r="H7" s="10"/>
      <c r="I7" s="10"/>
      <c r="J7" s="10"/>
      <c r="K7" s="10"/>
    </row>
    <row r="8" spans="1:11" ht="21" thickBot="1">
      <c r="A8" s="27"/>
      <c r="B8" s="10"/>
      <c r="C8" s="10"/>
      <c r="D8" s="26"/>
      <c r="E8" s="26"/>
      <c r="F8" s="29" t="s">
        <v>478</v>
      </c>
      <c r="G8" s="26"/>
      <c r="H8" s="26"/>
      <c r="I8" s="10"/>
      <c r="J8" s="10"/>
      <c r="K8" s="10"/>
    </row>
    <row r="9" spans="1:11" ht="17.25" thickBot="1">
      <c r="A9" s="30" t="s">
        <v>0</v>
      </c>
      <c r="B9" s="30" t="s">
        <v>0</v>
      </c>
      <c r="C9" s="30" t="s">
        <v>0</v>
      </c>
      <c r="D9" s="26"/>
      <c r="E9" s="30"/>
      <c r="F9" s="30" t="s">
        <v>0</v>
      </c>
      <c r="G9" s="30"/>
      <c r="H9" s="26"/>
      <c r="I9" s="26"/>
      <c r="J9" s="26"/>
      <c r="K9" s="10"/>
    </row>
    <row r="10" spans="1:11" ht="16.5">
      <c r="A10" s="31" t="s">
        <v>0</v>
      </c>
      <c r="B10" s="31" t="s">
        <v>3</v>
      </c>
      <c r="C10" s="31" t="s">
        <v>5</v>
      </c>
      <c r="D10" s="31" t="s">
        <v>156</v>
      </c>
      <c r="E10" s="31" t="s">
        <v>12</v>
      </c>
      <c r="F10" s="31" t="s">
        <v>167</v>
      </c>
      <c r="G10" s="31" t="s">
        <v>168</v>
      </c>
      <c r="H10" s="31" t="s">
        <v>168</v>
      </c>
      <c r="I10" s="31" t="s">
        <v>164</v>
      </c>
      <c r="J10" s="31" t="s">
        <v>164</v>
      </c>
      <c r="K10" s="10"/>
    </row>
    <row r="11" spans="1:11" ht="16.5">
      <c r="A11" s="31" t="s">
        <v>2</v>
      </c>
      <c r="B11" s="31" t="s">
        <v>4</v>
      </c>
      <c r="C11" s="31" t="s">
        <v>6</v>
      </c>
      <c r="D11" s="31" t="s">
        <v>195</v>
      </c>
      <c r="E11" s="31" t="s">
        <v>14</v>
      </c>
      <c r="F11" s="31" t="s">
        <v>346</v>
      </c>
      <c r="G11" s="31" t="s">
        <v>196</v>
      </c>
      <c r="H11" s="31" t="s">
        <v>197</v>
      </c>
      <c r="I11" s="31" t="s">
        <v>159</v>
      </c>
      <c r="J11" s="31" t="s">
        <v>162</v>
      </c>
      <c r="K11" s="10"/>
    </row>
    <row r="12" spans="1:11" ht="16.5">
      <c r="A12" s="31"/>
      <c r="B12" s="31"/>
      <c r="C12" s="31"/>
      <c r="D12" s="31"/>
      <c r="E12" s="31"/>
      <c r="F12" s="32" t="s">
        <v>0</v>
      </c>
      <c r="G12" s="32" t="s">
        <v>486</v>
      </c>
      <c r="H12" s="32" t="s">
        <v>486</v>
      </c>
      <c r="I12" s="31"/>
      <c r="J12" s="31"/>
      <c r="K12" s="10"/>
    </row>
    <row r="13" spans="1:11" ht="17.25" thickBot="1">
      <c r="A13" s="33" t="s">
        <v>24</v>
      </c>
      <c r="B13" s="34" t="s">
        <v>88</v>
      </c>
      <c r="C13" s="34" t="s">
        <v>89</v>
      </c>
      <c r="D13" s="34" t="s">
        <v>90</v>
      </c>
      <c r="E13" s="34" t="s">
        <v>91</v>
      </c>
      <c r="F13" s="34" t="s">
        <v>92</v>
      </c>
      <c r="G13" s="34" t="s">
        <v>93</v>
      </c>
      <c r="H13" s="34" t="s">
        <v>94</v>
      </c>
      <c r="I13" s="34" t="s">
        <v>165</v>
      </c>
      <c r="J13" s="34" t="s">
        <v>166</v>
      </c>
      <c r="K13" s="10"/>
    </row>
    <row r="14" spans="1:11" ht="16.5">
      <c r="A14" s="35" t="s">
        <v>7</v>
      </c>
      <c r="B14" s="35" t="s">
        <v>7</v>
      </c>
      <c r="C14" s="35" t="s">
        <v>7</v>
      </c>
      <c r="D14" s="36" t="s">
        <v>112</v>
      </c>
      <c r="E14" s="36"/>
      <c r="F14" s="35" t="s">
        <v>0</v>
      </c>
      <c r="G14" s="35" t="s">
        <v>7</v>
      </c>
      <c r="H14" s="35" t="s">
        <v>7</v>
      </c>
      <c r="I14" s="35" t="s">
        <v>15</v>
      </c>
      <c r="J14" s="35" t="s">
        <v>15</v>
      </c>
      <c r="K14" s="10"/>
    </row>
    <row r="15" spans="1:11" ht="16.5">
      <c r="A15" s="31"/>
      <c r="B15" s="31"/>
      <c r="C15" s="31"/>
      <c r="D15" s="31"/>
      <c r="E15" s="31"/>
      <c r="F15" s="31"/>
      <c r="G15" s="31"/>
      <c r="H15" s="10"/>
      <c r="I15" s="10"/>
      <c r="J15" s="10"/>
      <c r="K15" s="10"/>
    </row>
    <row r="16" spans="1:11" ht="16.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7.25">
      <c r="A17" s="58" t="str">
        <f>+'S&amp;D'!A22</f>
        <v xml:space="preserve">Alaska Air </v>
      </c>
      <c r="B17" s="85" t="str">
        <f>+'S&amp;D'!B22</f>
        <v>ALK</v>
      </c>
      <c r="C17" s="85" t="str">
        <f>+'S&amp;D'!C22</f>
        <v>AirTrans</v>
      </c>
      <c r="D17" s="55">
        <f>+'S&amp;D'!G22</f>
        <v>50.3</v>
      </c>
      <c r="E17" s="56">
        <f>+'S&amp;D'!D39</f>
        <v>5811203716.6999998</v>
      </c>
      <c r="F17" s="502" t="str">
        <f>+'Dividends '!H16</f>
        <v>NA</v>
      </c>
      <c r="G17" s="501" t="s">
        <v>487</v>
      </c>
      <c r="H17" s="61">
        <v>0.23499999999999999</v>
      </c>
      <c r="I17" s="504" t="s">
        <v>460</v>
      </c>
      <c r="J17" s="504" t="s">
        <v>460</v>
      </c>
      <c r="K17" s="10"/>
    </row>
    <row r="18" spans="1:11" ht="17.25">
      <c r="A18" s="58" t="str">
        <f>+'S&amp;D'!A23</f>
        <v xml:space="preserve">Allegiant Travel Co. </v>
      </c>
      <c r="B18" s="85" t="str">
        <f>+'S&amp;D'!B23</f>
        <v>ALGT</v>
      </c>
      <c r="C18" s="85" t="str">
        <f>+'S&amp;D'!C23</f>
        <v>AirTrans</v>
      </c>
      <c r="D18" s="55">
        <f>+'S&amp;D'!G23</f>
        <v>85.27</v>
      </c>
      <c r="E18" s="56">
        <f>+'S&amp;D'!D40</f>
        <v>1567069633.99</v>
      </c>
      <c r="F18" s="49">
        <f>+'Dividends '!H17</f>
        <v>1.1727453969743169E-3</v>
      </c>
      <c r="G18" s="61">
        <v>-0.04</v>
      </c>
      <c r="H18" s="61">
        <v>0.25</v>
      </c>
      <c r="I18" s="504" t="s">
        <v>460</v>
      </c>
      <c r="J18" s="271">
        <f>+F18+H18</f>
        <v>0.25117274539697432</v>
      </c>
      <c r="K18" s="10"/>
    </row>
    <row r="19" spans="1:11" ht="17.25">
      <c r="A19" s="58" t="str">
        <f>+'S&amp;D'!A24</f>
        <v xml:space="preserve">American Airlines </v>
      </c>
      <c r="B19" s="85" t="str">
        <f>+'S&amp;D'!B24</f>
        <v>AAL</v>
      </c>
      <c r="C19" s="85" t="str">
        <f>+'S&amp;D'!C24</f>
        <v>AirTrans</v>
      </c>
      <c r="D19" s="55">
        <f>+'S&amp;D'!G24</f>
        <v>15.33</v>
      </c>
      <c r="E19" s="56">
        <f>+'S&amp;D'!D41</f>
        <v>10122415556.4</v>
      </c>
      <c r="F19" s="502" t="str">
        <f>+'Dividends '!H18</f>
        <v>NA</v>
      </c>
      <c r="G19" s="501" t="s">
        <v>485</v>
      </c>
      <c r="H19" s="61">
        <v>0.12</v>
      </c>
      <c r="I19" s="504" t="s">
        <v>460</v>
      </c>
      <c r="J19" s="504" t="s">
        <v>460</v>
      </c>
      <c r="K19" s="10"/>
    </row>
    <row r="20" spans="1:11" ht="17.25">
      <c r="A20" s="58" t="str">
        <f>+'S&amp;D'!A25</f>
        <v xml:space="preserve">Delta Air Lines </v>
      </c>
      <c r="B20" s="85" t="str">
        <f>+'S&amp;D'!B25</f>
        <v>DAL</v>
      </c>
      <c r="C20" s="85" t="str">
        <f>+'S&amp;D'!C25</f>
        <v>AirTrans</v>
      </c>
      <c r="D20" s="55">
        <f>+'S&amp;D'!G25</f>
        <v>69.400000000000006</v>
      </c>
      <c r="E20" s="56">
        <f>+'S&amp;D'!D42</f>
        <v>45330083847.800003</v>
      </c>
      <c r="F20" s="49">
        <f>+'Dividends '!H19</f>
        <v>1.2247838616714695E-2</v>
      </c>
      <c r="G20" s="501" t="s">
        <v>487</v>
      </c>
      <c r="H20" s="61">
        <v>9.5000000000000001E-2</v>
      </c>
      <c r="I20" s="504" t="s">
        <v>460</v>
      </c>
      <c r="J20" s="271">
        <f>+F20+H20</f>
        <v>0.10724783861671469</v>
      </c>
      <c r="K20" s="10"/>
    </row>
    <row r="21" spans="1:11" ht="17.25">
      <c r="A21" s="58" t="str">
        <f>+'S&amp;D'!A26</f>
        <v xml:space="preserve">JetBlue Airways </v>
      </c>
      <c r="B21" s="85" t="str">
        <f>+'S&amp;D'!B26</f>
        <v>JBLU</v>
      </c>
      <c r="C21" s="85" t="str">
        <f>+'S&amp;D'!C26</f>
        <v>AirTrans</v>
      </c>
      <c r="D21" s="55">
        <f>+'S&amp;D'!G26</f>
        <v>4.55</v>
      </c>
      <c r="E21" s="56">
        <f>+'S&amp;D'!D43</f>
        <v>1683500000</v>
      </c>
      <c r="F21" s="502" t="str">
        <f>+'Dividends '!H20</f>
        <v>NA</v>
      </c>
      <c r="G21" s="501" t="s">
        <v>485</v>
      </c>
      <c r="H21" s="501" t="s">
        <v>487</v>
      </c>
      <c r="I21" s="504" t="s">
        <v>460</v>
      </c>
      <c r="J21" s="504" t="s">
        <v>460</v>
      </c>
      <c r="K21" s="10"/>
    </row>
    <row r="22" spans="1:11" ht="17.25">
      <c r="A22" s="58" t="str">
        <f>+'S&amp;D'!A27</f>
        <v>Skywest Inc</v>
      </c>
      <c r="B22" s="85" t="str">
        <f>+'S&amp;D'!B27</f>
        <v>SKYW</v>
      </c>
      <c r="C22" s="85" t="str">
        <f>+'S&amp;D'!C27</f>
        <v>AirTrans</v>
      </c>
      <c r="D22" s="55">
        <f>+'S&amp;D'!G27</f>
        <v>100.41</v>
      </c>
      <c r="E22" s="56">
        <f>+'S&amp;D'!D44</f>
        <v>4003495507.6199999</v>
      </c>
      <c r="F22" s="502" t="str">
        <f>+'Dividends '!H21</f>
        <v>NA</v>
      </c>
      <c r="G22" s="501" t="s">
        <v>487</v>
      </c>
      <c r="H22" s="61">
        <v>0.24</v>
      </c>
      <c r="I22" s="504" t="s">
        <v>460</v>
      </c>
      <c r="J22" s="504" t="s">
        <v>460</v>
      </c>
      <c r="K22" s="10"/>
    </row>
    <row r="23" spans="1:11" ht="17.25">
      <c r="A23" s="58" t="str">
        <f>+'S&amp;D'!A28</f>
        <v xml:space="preserve">Southwest Airlines </v>
      </c>
      <c r="B23" s="85" t="str">
        <f>+'S&amp;D'!B28</f>
        <v>LUV</v>
      </c>
      <c r="C23" s="85" t="str">
        <f>+'S&amp;D'!C28</f>
        <v>AirTrans</v>
      </c>
      <c r="D23" s="55">
        <f>+'S&amp;D'!G28</f>
        <v>41.33</v>
      </c>
      <c r="E23" s="56">
        <f>+'S&amp;D'!D45</f>
        <v>21308979096.68</v>
      </c>
      <c r="F23" s="49">
        <f>+'Dividends '!H22</f>
        <v>1.8388579724171305E-2</v>
      </c>
      <c r="G23" s="61">
        <v>0.16</v>
      </c>
      <c r="H23" s="61">
        <v>0.20499999999999999</v>
      </c>
      <c r="I23" s="271">
        <f>+F23+G23</f>
        <v>0.1783885797241713</v>
      </c>
      <c r="J23" s="504" t="s">
        <v>460</v>
      </c>
      <c r="K23" s="10"/>
    </row>
    <row r="24" spans="1:11" ht="18" thickBot="1">
      <c r="A24" s="58" t="str">
        <f>+'S&amp;D'!A29</f>
        <v>United Airlines Holdings Inc</v>
      </c>
      <c r="B24" s="85" t="str">
        <f>+'S&amp;D'!B29</f>
        <v>UAL</v>
      </c>
      <c r="C24" s="85" t="str">
        <f>+'S&amp;D'!C29</f>
        <v>AirTrans</v>
      </c>
      <c r="D24" s="55">
        <f>+'S&amp;D'!G29</f>
        <v>111.82</v>
      </c>
      <c r="E24" s="56">
        <f>+'S&amp;D'!D46</f>
        <v>36170491661.239998</v>
      </c>
      <c r="F24" s="505" t="str">
        <f>+'Dividends '!H23</f>
        <v>NA</v>
      </c>
      <c r="G24" s="506" t="s">
        <v>485</v>
      </c>
      <c r="H24" s="284">
        <v>0.13</v>
      </c>
      <c r="I24" s="507" t="s">
        <v>460</v>
      </c>
      <c r="J24" s="507" t="s">
        <v>460</v>
      </c>
      <c r="K24" s="10"/>
    </row>
    <row r="25" spans="1:11" ht="17.25" thickTop="1">
      <c r="A25" s="10"/>
      <c r="B25" s="10"/>
      <c r="C25" s="12" t="s">
        <v>0</v>
      </c>
      <c r="D25" s="13" t="s">
        <v>0</v>
      </c>
      <c r="E25" s="13" t="s">
        <v>45</v>
      </c>
      <c r="F25" s="403">
        <f>MAX(F17:F24)</f>
        <v>1.8388579724171305E-2</v>
      </c>
      <c r="G25" s="310">
        <f>MAX(G17:G24)</f>
        <v>0.16</v>
      </c>
      <c r="H25" s="310">
        <f>MAX(H17:H24)</f>
        <v>0.25</v>
      </c>
      <c r="I25" s="310">
        <f>MAX(I17:I24)</f>
        <v>0.1783885797241713</v>
      </c>
      <c r="J25" s="310">
        <f>MAX(J17:J24)</f>
        <v>0.25117274539697432</v>
      </c>
      <c r="K25" s="10"/>
    </row>
    <row r="26" spans="1:11" ht="16.5">
      <c r="A26" s="10"/>
      <c r="B26" s="10"/>
      <c r="C26" s="12"/>
      <c r="D26" s="13"/>
      <c r="E26" s="13" t="s">
        <v>46</v>
      </c>
      <c r="F26" s="402">
        <f>MIN(F17:F24)</f>
        <v>1.1727453969743169E-3</v>
      </c>
      <c r="G26" s="309">
        <f>MIN(G17:G24)</f>
        <v>-0.04</v>
      </c>
      <c r="H26" s="309">
        <f>MIN(H17:H24)</f>
        <v>9.5000000000000001E-2</v>
      </c>
      <c r="I26" s="309">
        <f>MIN(I17:I24)</f>
        <v>0.1783885797241713</v>
      </c>
      <c r="J26" s="309">
        <f>MIN(J17:J24)</f>
        <v>0.10724783861671469</v>
      </c>
      <c r="K26" s="10"/>
    </row>
    <row r="27" spans="1:11" ht="16.5">
      <c r="A27" s="10"/>
      <c r="B27" s="10"/>
      <c r="D27" s="15" t="s">
        <v>0</v>
      </c>
      <c r="E27" s="12" t="s">
        <v>18</v>
      </c>
      <c r="F27" s="50">
        <f>MEDIAN(F17:F24)</f>
        <v>1.2247838616714695E-2</v>
      </c>
      <c r="G27" s="267">
        <f>MEDIAN(G17:G24)</f>
        <v>6.0000000000000005E-2</v>
      </c>
      <c r="H27" s="267">
        <f>MEDIAN(H17:H24)</f>
        <v>0.20499999999999999</v>
      </c>
      <c r="I27" s="268">
        <f>MEDIAN(I17:I24)</f>
        <v>0.1783885797241713</v>
      </c>
      <c r="J27" s="268">
        <f>MEDIAN(J17:J24)</f>
        <v>0.17921029200684452</v>
      </c>
      <c r="K27" s="10"/>
    </row>
    <row r="28" spans="1:11" ht="16.5">
      <c r="A28" s="10"/>
      <c r="B28" s="10"/>
      <c r="D28" s="19" t="s">
        <v>0</v>
      </c>
      <c r="E28" s="12" t="s">
        <v>387</v>
      </c>
      <c r="F28" s="50">
        <f>AVERAGE(F17:F24)</f>
        <v>1.0603054579286772E-2</v>
      </c>
      <c r="G28" s="50">
        <f>AVERAGE(G17:G24)</f>
        <v>0.06</v>
      </c>
      <c r="H28" s="267">
        <f>AVERAGE(H17:H24)</f>
        <v>0.18214285714285713</v>
      </c>
      <c r="I28" s="268">
        <f>AVERAGE(I17:I24)</f>
        <v>0.1783885797241713</v>
      </c>
      <c r="J28" s="268">
        <f>AVERAGE(J17:J24)</f>
        <v>0.17921029200684452</v>
      </c>
      <c r="K28" s="10"/>
    </row>
    <row r="29" spans="1:11" ht="16.5">
      <c r="A29" s="10"/>
      <c r="B29" s="10"/>
      <c r="D29" s="19"/>
      <c r="E29" s="12"/>
      <c r="F29" s="16"/>
      <c r="G29" s="16"/>
      <c r="H29" s="17"/>
      <c r="I29" s="18"/>
      <c r="J29" s="18"/>
      <c r="K29" s="10"/>
    </row>
    <row r="30" spans="1:11" ht="17.25" thickBo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27" thickBot="1">
      <c r="A31" s="10"/>
      <c r="B31" s="10"/>
      <c r="C31" s="10"/>
      <c r="D31" s="10"/>
      <c r="E31" s="10"/>
      <c r="F31" s="10"/>
      <c r="G31" s="164" t="s">
        <v>170</v>
      </c>
      <c r="H31" s="166"/>
      <c r="I31" s="356">
        <v>0.1784</v>
      </c>
      <c r="J31" s="10"/>
      <c r="K31" s="10"/>
    </row>
    <row r="32" spans="1:11" ht="20.25" customHeight="1" thickBo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27" thickBot="1">
      <c r="A33" s="10"/>
      <c r="B33" s="10"/>
      <c r="C33" s="10"/>
      <c r="D33" s="10"/>
      <c r="E33" s="10"/>
      <c r="F33" s="10"/>
      <c r="G33" s="164" t="s">
        <v>169</v>
      </c>
      <c r="H33" s="167"/>
      <c r="I33" s="357">
        <v>0.1792</v>
      </c>
      <c r="J33" s="10"/>
      <c r="K33" s="10"/>
    </row>
    <row r="34" spans="1:11" ht="16.5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1" ht="26.25">
      <c r="A35" s="21" t="s">
        <v>334</v>
      </c>
      <c r="B35" s="10"/>
      <c r="C35" s="21" t="s">
        <v>333</v>
      </c>
      <c r="D35" s="10"/>
      <c r="E35" s="10"/>
      <c r="F35" s="10"/>
      <c r="G35" s="10"/>
      <c r="H35" s="10"/>
      <c r="I35" s="10"/>
      <c r="J35" s="10"/>
    </row>
    <row r="36" spans="1:11" ht="17.25">
      <c r="A36" s="58" t="s">
        <v>337</v>
      </c>
      <c r="B36" s="10"/>
      <c r="C36" s="58" t="s">
        <v>337</v>
      </c>
      <c r="D36" s="10"/>
      <c r="E36" s="10"/>
      <c r="F36" s="10"/>
      <c r="G36" s="10"/>
      <c r="H36" s="10"/>
      <c r="I36" s="10"/>
      <c r="J36" s="10"/>
    </row>
    <row r="37" spans="1:11" ht="17.25">
      <c r="A37" s="58" t="s">
        <v>336</v>
      </c>
      <c r="B37" s="10"/>
      <c r="C37" s="58" t="s">
        <v>335</v>
      </c>
      <c r="D37" s="10"/>
      <c r="E37" s="10"/>
      <c r="F37" s="10"/>
      <c r="G37" s="10"/>
      <c r="H37" s="10"/>
      <c r="I37" s="10"/>
      <c r="J37" s="10"/>
    </row>
    <row r="38" spans="1:11" ht="16.5">
      <c r="A38" s="40"/>
      <c r="B38" s="10"/>
      <c r="C38" s="40"/>
      <c r="D38" s="10"/>
      <c r="E38" s="10"/>
      <c r="F38" s="10"/>
      <c r="G38" s="10"/>
      <c r="H38" s="10"/>
      <c r="I38" s="10"/>
      <c r="J38" s="10"/>
    </row>
    <row r="39" spans="1:11" ht="16.5">
      <c r="A39" s="40"/>
      <c r="B39" s="10"/>
      <c r="C39" s="40"/>
      <c r="D39" s="10"/>
      <c r="E39" s="10"/>
      <c r="F39" s="10"/>
      <c r="G39" s="10"/>
      <c r="H39" s="10"/>
      <c r="I39" s="10"/>
      <c r="J39" s="10"/>
    </row>
    <row r="40" spans="1:11" ht="26.25">
      <c r="A40" s="21" t="s">
        <v>192</v>
      </c>
      <c r="B40" s="10"/>
      <c r="C40" s="21" t="s">
        <v>192</v>
      </c>
      <c r="D40" s="10"/>
      <c r="E40" s="10"/>
      <c r="F40" s="10"/>
      <c r="G40" s="10"/>
      <c r="H40" s="10"/>
      <c r="I40" s="10"/>
      <c r="J40" s="10"/>
    </row>
    <row r="41" spans="1:11" ht="16.5">
      <c r="A41" s="40"/>
      <c r="B41" s="10"/>
      <c r="C41" s="40"/>
      <c r="D41" s="10"/>
      <c r="E41" s="10"/>
      <c r="F41" s="10"/>
      <c r="G41" s="10"/>
      <c r="H41" s="10"/>
      <c r="I41" s="10"/>
      <c r="J41" s="10"/>
    </row>
    <row r="42" spans="1:11" ht="17.25">
      <c r="A42" s="58" t="s">
        <v>193</v>
      </c>
      <c r="B42" s="10"/>
      <c r="C42" s="58" t="s">
        <v>193</v>
      </c>
      <c r="D42" s="10"/>
      <c r="E42" s="10"/>
      <c r="F42" s="10"/>
      <c r="G42" s="10"/>
      <c r="H42" s="10"/>
      <c r="I42" s="10"/>
      <c r="J42" s="10"/>
    </row>
    <row r="43" spans="1:11" ht="17.25">
      <c r="A43" s="58" t="s">
        <v>191</v>
      </c>
      <c r="B43" s="10"/>
      <c r="C43" s="58" t="s">
        <v>191</v>
      </c>
      <c r="D43" s="10"/>
      <c r="E43" s="10"/>
      <c r="F43" s="10"/>
      <c r="G43" s="10"/>
      <c r="H43" s="10"/>
      <c r="I43" s="10"/>
      <c r="J43" s="10"/>
    </row>
    <row r="44" spans="1:11" ht="17.25">
      <c r="A44" s="58" t="s">
        <v>194</v>
      </c>
      <c r="B44" s="10"/>
      <c r="C44" s="58" t="s">
        <v>194</v>
      </c>
      <c r="D44" s="10"/>
      <c r="E44" s="10"/>
      <c r="F44" s="10"/>
      <c r="G44" s="10"/>
      <c r="H44" s="10"/>
      <c r="I44" s="10"/>
      <c r="J44" s="10"/>
    </row>
    <row r="45" spans="1:11" ht="17.25">
      <c r="A45" s="58" t="s">
        <v>339</v>
      </c>
      <c r="B45" s="10"/>
      <c r="C45" s="58" t="s">
        <v>338</v>
      </c>
      <c r="D45" s="10"/>
      <c r="E45" s="10"/>
      <c r="F45" s="10"/>
      <c r="G45" s="10"/>
      <c r="H45" s="10"/>
      <c r="I45" s="10"/>
      <c r="J45" s="10"/>
    </row>
    <row r="46" spans="1:11" ht="17.25">
      <c r="A46" s="58"/>
      <c r="B46" s="10"/>
      <c r="C46" s="58"/>
      <c r="D46" s="10"/>
      <c r="E46" s="10"/>
      <c r="F46" s="10"/>
      <c r="G46" s="10"/>
      <c r="H46" s="10"/>
      <c r="I46" s="10"/>
      <c r="J46" s="10"/>
    </row>
  </sheetData>
  <pageMargins left="0.25" right="0.25" top="0.75" bottom="0.75" header="0.3" footer="0.3"/>
  <pageSetup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08"/>
  <sheetViews>
    <sheetView view="pageBreakPreview" topLeftCell="A14" zoomScale="70" zoomScaleNormal="80" zoomScaleSheetLayoutView="70" workbookViewId="0">
      <selection activeCell="D28" activeCellId="7" sqref="D21 H21 D23:E23 H23 D25:E25 H25:H28 D26 D28"/>
    </sheetView>
  </sheetViews>
  <sheetFormatPr defaultRowHeight="15"/>
  <cols>
    <col min="1" max="1" width="47.85546875" customWidth="1"/>
    <col min="2" max="2" width="15.42578125" customWidth="1"/>
    <col min="3" max="3" width="24.5703125" customWidth="1"/>
    <col min="4" max="4" width="26.5703125" customWidth="1"/>
    <col min="5" max="5" width="32.42578125" customWidth="1"/>
    <col min="6" max="6" width="22.42578125" customWidth="1"/>
    <col min="7" max="7" width="27" customWidth="1"/>
    <col min="8" max="8" width="39.85546875" customWidth="1"/>
    <col min="9" max="9" width="15.425781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21" t="s">
        <v>1</v>
      </c>
      <c r="B1" s="10"/>
      <c r="C1" s="10"/>
      <c r="D1" s="10"/>
      <c r="E1" s="10"/>
      <c r="F1" s="10"/>
      <c r="G1" s="10"/>
      <c r="H1" s="10"/>
      <c r="I1" s="10"/>
    </row>
    <row r="2" spans="1:9" ht="17.25">
      <c r="A2" s="22" t="s">
        <v>9</v>
      </c>
      <c r="B2" s="10"/>
      <c r="C2" s="10"/>
      <c r="D2" s="10"/>
      <c r="E2" s="10"/>
      <c r="F2" s="10"/>
      <c r="G2" s="10"/>
      <c r="H2" s="10"/>
      <c r="I2" s="10"/>
    </row>
    <row r="3" spans="1:9" ht="16.5">
      <c r="A3" s="23" t="s">
        <v>465</v>
      </c>
      <c r="B3" s="10"/>
      <c r="C3" s="10"/>
      <c r="D3" s="10"/>
      <c r="E3" s="10"/>
      <c r="F3" s="10"/>
      <c r="G3" s="10"/>
      <c r="H3" s="10"/>
      <c r="I3" s="10"/>
    </row>
    <row r="4" spans="1:9" ht="16.5">
      <c r="A4" s="23"/>
      <c r="B4" s="10"/>
      <c r="C4" s="10"/>
      <c r="D4" s="10"/>
      <c r="E4" s="10"/>
      <c r="F4" s="10"/>
      <c r="G4" s="10"/>
      <c r="H4" s="10"/>
      <c r="I4" s="10"/>
    </row>
    <row r="5" spans="1:9" ht="17.25" thickBot="1">
      <c r="A5" s="10"/>
      <c r="B5" s="10"/>
      <c r="C5" s="10"/>
      <c r="D5" s="10"/>
      <c r="E5" s="10"/>
      <c r="F5" s="10"/>
      <c r="G5" s="10"/>
      <c r="H5" s="10"/>
      <c r="I5" s="24"/>
    </row>
    <row r="6" spans="1:9" ht="21" thickBot="1">
      <c r="A6" s="226" t="str">
        <f>+'S&amp;D'!A12</f>
        <v>Air Passenger Carriers</v>
      </c>
      <c r="B6" s="167"/>
      <c r="C6" s="10"/>
      <c r="D6" s="10"/>
      <c r="E6" s="10"/>
      <c r="F6" s="10"/>
      <c r="G6" s="10"/>
      <c r="H6" s="10"/>
      <c r="I6" s="10"/>
    </row>
    <row r="7" spans="1:9" ht="20.25">
      <c r="A7" s="27"/>
      <c r="B7" s="10"/>
      <c r="C7" s="10"/>
      <c r="D7" s="10"/>
      <c r="E7" s="10"/>
      <c r="F7" s="10"/>
      <c r="G7" s="10"/>
      <c r="H7" s="10"/>
      <c r="I7" s="10"/>
    </row>
    <row r="8" spans="1:9" ht="21" thickBot="1">
      <c r="A8" s="27"/>
      <c r="B8" s="10"/>
      <c r="C8" s="10"/>
      <c r="D8" s="26"/>
      <c r="E8" s="26"/>
      <c r="F8" s="26"/>
      <c r="G8" s="10"/>
      <c r="H8" s="10"/>
      <c r="I8" s="10"/>
    </row>
    <row r="9" spans="1:9" ht="26.25">
      <c r="A9" s="27"/>
      <c r="B9" s="10"/>
      <c r="C9" s="10"/>
      <c r="D9" s="10"/>
      <c r="E9" s="28" t="s">
        <v>171</v>
      </c>
      <c r="F9" s="10"/>
      <c r="G9" s="10"/>
      <c r="H9" s="10"/>
      <c r="I9" s="10"/>
    </row>
    <row r="10" spans="1:9" ht="21" thickBot="1">
      <c r="A10" s="27"/>
      <c r="B10" s="10"/>
      <c r="C10" s="10"/>
      <c r="D10" s="26"/>
      <c r="E10" s="29" t="s">
        <v>478</v>
      </c>
      <c r="F10" s="26"/>
      <c r="G10" s="10"/>
      <c r="H10" s="10"/>
      <c r="I10" s="10"/>
    </row>
    <row r="11" spans="1:9" ht="20.25">
      <c r="A11" s="27"/>
      <c r="B11" s="10"/>
      <c r="C11" s="10"/>
      <c r="D11" s="10"/>
      <c r="E11" s="10"/>
      <c r="F11" s="31"/>
      <c r="G11" s="31"/>
      <c r="H11" s="10"/>
      <c r="I11" s="10"/>
    </row>
    <row r="12" spans="1:9" ht="20.25">
      <c r="A12" s="27"/>
      <c r="B12" s="10"/>
      <c r="C12" s="10"/>
      <c r="D12" s="10" t="s">
        <v>0</v>
      </c>
      <c r="E12" s="10"/>
      <c r="F12" s="31"/>
      <c r="G12" s="31"/>
      <c r="H12" s="10"/>
      <c r="I12" s="10"/>
    </row>
    <row r="13" spans="1:9" ht="45.75" customHeight="1" thickBot="1">
      <c r="A13" s="30" t="s">
        <v>0</v>
      </c>
      <c r="B13" s="30" t="s">
        <v>0</v>
      </c>
      <c r="C13" s="30" t="s">
        <v>0</v>
      </c>
      <c r="D13" s="26"/>
      <c r="E13" s="26"/>
      <c r="F13" s="30" t="s">
        <v>0</v>
      </c>
      <c r="G13" s="30"/>
      <c r="H13" s="30"/>
      <c r="I13" s="10"/>
    </row>
    <row r="14" spans="1:9" ht="16.5">
      <c r="A14" s="31" t="s">
        <v>0</v>
      </c>
      <c r="B14" s="31" t="s">
        <v>3</v>
      </c>
      <c r="C14" s="31" t="s">
        <v>5</v>
      </c>
      <c r="D14" s="31" t="s">
        <v>167</v>
      </c>
      <c r="E14" s="31" t="s">
        <v>168</v>
      </c>
      <c r="F14" s="31" t="s">
        <v>172</v>
      </c>
      <c r="G14" s="31" t="s">
        <v>19</v>
      </c>
      <c r="H14" s="31" t="s">
        <v>174</v>
      </c>
      <c r="I14" s="10"/>
    </row>
    <row r="15" spans="1:9" ht="16.5">
      <c r="A15" s="31" t="s">
        <v>2</v>
      </c>
      <c r="B15" s="31" t="s">
        <v>4</v>
      </c>
      <c r="C15" s="31" t="s">
        <v>6</v>
      </c>
      <c r="D15" s="31" t="s">
        <v>377</v>
      </c>
      <c r="E15" s="31" t="s">
        <v>379</v>
      </c>
      <c r="F15" s="31" t="s">
        <v>122</v>
      </c>
      <c r="G15" s="31" t="s">
        <v>173</v>
      </c>
      <c r="H15" s="31" t="s">
        <v>163</v>
      </c>
      <c r="I15" s="10"/>
    </row>
    <row r="16" spans="1:9" ht="16.5">
      <c r="A16" s="31"/>
      <c r="B16" s="31" t="s">
        <v>0</v>
      </c>
      <c r="C16" s="31" t="s">
        <v>0</v>
      </c>
      <c r="D16" s="31" t="s">
        <v>0</v>
      </c>
      <c r="E16" s="32" t="s">
        <v>378</v>
      </c>
      <c r="F16" s="32" t="s">
        <v>0</v>
      </c>
      <c r="G16" s="31" t="s">
        <v>178</v>
      </c>
      <c r="H16" s="32" t="s">
        <v>179</v>
      </c>
      <c r="I16" s="10"/>
    </row>
    <row r="17" spans="1:11" ht="18" customHeight="1" thickBot="1">
      <c r="A17" s="62" t="s">
        <v>0</v>
      </c>
      <c r="B17" s="34" t="s">
        <v>0</v>
      </c>
      <c r="C17" s="34" t="s">
        <v>0</v>
      </c>
      <c r="D17" s="29" t="s">
        <v>176</v>
      </c>
      <c r="E17" s="29" t="s">
        <v>177</v>
      </c>
      <c r="F17" s="29" t="s">
        <v>175</v>
      </c>
      <c r="G17" s="31" t="s">
        <v>93</v>
      </c>
      <c r="H17" s="137"/>
      <c r="I17" s="10"/>
    </row>
    <row r="18" spans="1:11" ht="16.5">
      <c r="A18" s="35" t="s">
        <v>0</v>
      </c>
      <c r="B18" s="35" t="s">
        <v>0</v>
      </c>
      <c r="C18" s="35" t="s">
        <v>0</v>
      </c>
      <c r="D18" s="35" t="s">
        <v>7</v>
      </c>
      <c r="E18" s="35" t="s">
        <v>7</v>
      </c>
      <c r="F18" s="35" t="s">
        <v>0</v>
      </c>
      <c r="G18" s="63" t="s">
        <v>0</v>
      </c>
      <c r="H18" s="35" t="s">
        <v>0</v>
      </c>
      <c r="I18" s="10"/>
    </row>
    <row r="19" spans="1:11" ht="16.5">
      <c r="A19" s="31"/>
      <c r="B19" s="31"/>
      <c r="C19" s="31"/>
      <c r="D19" s="31"/>
      <c r="E19" s="10"/>
      <c r="F19" s="31"/>
      <c r="G19" s="10"/>
      <c r="H19" s="10"/>
      <c r="I19" s="10"/>
      <c r="J19" t="s">
        <v>0</v>
      </c>
      <c r="K19" t="s">
        <v>0</v>
      </c>
    </row>
    <row r="20" spans="1:11" ht="16.5">
      <c r="A20" s="10"/>
      <c r="B20" s="10"/>
      <c r="C20" s="10"/>
      <c r="D20" s="10"/>
      <c r="E20" s="10"/>
      <c r="F20" s="10"/>
      <c r="G20" s="10"/>
      <c r="H20" s="10" t="s">
        <v>0</v>
      </c>
      <c r="I20" s="10"/>
      <c r="J20" t="s">
        <v>0</v>
      </c>
      <c r="K20" t="s">
        <v>0</v>
      </c>
    </row>
    <row r="21" spans="1:11" ht="17.25">
      <c r="A21" s="58" t="str">
        <f>+'S&amp;D'!A22</f>
        <v xml:space="preserve">Alaska Air </v>
      </c>
      <c r="B21" s="85" t="str">
        <f>+'S&amp;D'!B22</f>
        <v>ALK</v>
      </c>
      <c r="C21" s="31" t="str">
        <f>+'S&amp;D'!C22</f>
        <v>AirTrans</v>
      </c>
      <c r="D21" s="501" t="str">
        <f>+'Single Stage Div Growth Model'!F17</f>
        <v>NA</v>
      </c>
      <c r="E21" s="61">
        <f>+'Single Stage Div Growth Model'!H17</f>
        <v>0.23499999999999999</v>
      </c>
      <c r="F21" s="169">
        <f>+'Growth &amp; Inflation Rates'!F56</f>
        <v>4.2900000000000001E-2</v>
      </c>
      <c r="G21" s="61">
        <f t="shared" ref="G21:G28" si="0">(F21+E21)/2</f>
        <v>0.13894999999999999</v>
      </c>
      <c r="H21" s="501" t="s">
        <v>460</v>
      </c>
      <c r="I21" s="10"/>
      <c r="J21" t="s">
        <v>0</v>
      </c>
      <c r="K21" t="s">
        <v>0</v>
      </c>
    </row>
    <row r="22" spans="1:11" ht="17.25">
      <c r="A22" s="58" t="str">
        <f>+'S&amp;D'!A23</f>
        <v xml:space="preserve">Allegiant Travel Co. </v>
      </c>
      <c r="B22" s="85" t="str">
        <f>+'S&amp;D'!B23</f>
        <v>ALGT</v>
      </c>
      <c r="C22" s="31" t="str">
        <f>+'S&amp;D'!C23</f>
        <v>AirTrans</v>
      </c>
      <c r="D22" s="61">
        <f>+'Single Stage Div Growth Model'!F18</f>
        <v>1.1727453969743169E-3</v>
      </c>
      <c r="E22" s="61">
        <f>+'Single Stage Div Growth Model'!H18</f>
        <v>0.25</v>
      </c>
      <c r="F22" s="169">
        <f>+F21</f>
        <v>4.2900000000000001E-2</v>
      </c>
      <c r="G22" s="61">
        <f>(F22+E22)/2</f>
        <v>0.14645</v>
      </c>
      <c r="H22" s="61">
        <f>D22*(1+(0.5*G22))+(0.67*E22)+(0.33*F22)</f>
        <v>0.18291561967866776</v>
      </c>
      <c r="I22" s="10"/>
    </row>
    <row r="23" spans="1:11" ht="17.25">
      <c r="A23" s="58" t="str">
        <f>+'S&amp;D'!A24</f>
        <v xml:space="preserve">American Airlines </v>
      </c>
      <c r="B23" s="85" t="str">
        <f>+'S&amp;D'!B24</f>
        <v>AAL</v>
      </c>
      <c r="C23" s="31" t="str">
        <f>+'S&amp;D'!C24</f>
        <v>AirTrans</v>
      </c>
      <c r="D23" s="501" t="str">
        <f>+'Single Stage Div Growth Model'!F19</f>
        <v>NA</v>
      </c>
      <c r="E23" s="501">
        <f>+'Single Stage Div Growth Model'!H19</f>
        <v>0.12</v>
      </c>
      <c r="F23" s="169">
        <f>+F21</f>
        <v>4.2900000000000001E-2</v>
      </c>
      <c r="G23" s="61">
        <f>(F23+E23)/2</f>
        <v>8.1449999999999995E-2</v>
      </c>
      <c r="H23" s="501" t="s">
        <v>460</v>
      </c>
      <c r="I23" s="10"/>
    </row>
    <row r="24" spans="1:11" ht="17.25">
      <c r="A24" s="58" t="str">
        <f>+'S&amp;D'!A25</f>
        <v xml:space="preserve">Delta Air Lines </v>
      </c>
      <c r="B24" s="85" t="str">
        <f>+'S&amp;D'!B25</f>
        <v>DAL</v>
      </c>
      <c r="C24" s="31" t="str">
        <f>+'S&amp;D'!C25</f>
        <v>AirTrans</v>
      </c>
      <c r="D24" s="61">
        <f>+'Single Stage Div Growth Model'!F20</f>
        <v>1.2247838616714695E-2</v>
      </c>
      <c r="E24" s="61">
        <f>+'Single Stage Div Growth Model'!H20</f>
        <v>9.5000000000000001E-2</v>
      </c>
      <c r="F24" s="169">
        <f>+F21</f>
        <v>4.2900000000000001E-2</v>
      </c>
      <c r="G24" s="61">
        <f t="shared" si="0"/>
        <v>6.8949999999999997E-2</v>
      </c>
      <c r="H24" s="61">
        <f t="shared" ref="H24:H27" si="1">D24*(1+(0.5*G24))+(0.67*E24)+(0.33*F24)</f>
        <v>9.0477082853025942E-2</v>
      </c>
      <c r="I24" s="10"/>
    </row>
    <row r="25" spans="1:11" ht="17.25">
      <c r="A25" s="58" t="str">
        <f>+'S&amp;D'!A26</f>
        <v xml:space="preserve">JetBlue Airways </v>
      </c>
      <c r="B25" s="85" t="str">
        <f>+'S&amp;D'!B26</f>
        <v>JBLU</v>
      </c>
      <c r="C25" s="31" t="str">
        <f>+'S&amp;D'!C26</f>
        <v>AirTrans</v>
      </c>
      <c r="D25" s="501" t="str">
        <f>+'Single Stage Div Growth Model'!F21</f>
        <v>NA</v>
      </c>
      <c r="E25" s="501" t="str">
        <f>+'Single Stage Div Growth Model'!H21</f>
        <v>NMF</v>
      </c>
      <c r="F25" s="169">
        <f>+F21</f>
        <v>4.2900000000000001E-2</v>
      </c>
      <c r="G25" s="61" t="s">
        <v>460</v>
      </c>
      <c r="H25" s="501" t="s">
        <v>499</v>
      </c>
      <c r="I25" s="10"/>
    </row>
    <row r="26" spans="1:11" ht="17.25">
      <c r="A26" s="58" t="str">
        <f>+'S&amp;D'!A27</f>
        <v>Skywest Inc</v>
      </c>
      <c r="B26" s="85" t="str">
        <f>+'S&amp;D'!B27</f>
        <v>SKYW</v>
      </c>
      <c r="C26" s="31" t="str">
        <f>+'S&amp;D'!C27</f>
        <v>AirTrans</v>
      </c>
      <c r="D26" s="501" t="str">
        <f>+'Single Stage Div Growth Model'!F22</f>
        <v>NA</v>
      </c>
      <c r="E26" s="61">
        <f>+'Single Stage Div Growth Model'!H22</f>
        <v>0.24</v>
      </c>
      <c r="F26" s="169">
        <f>+F21</f>
        <v>4.2900000000000001E-2</v>
      </c>
      <c r="G26" s="61">
        <f t="shared" si="0"/>
        <v>0.14144999999999999</v>
      </c>
      <c r="H26" s="501" t="s">
        <v>460</v>
      </c>
      <c r="I26" s="10"/>
    </row>
    <row r="27" spans="1:11" ht="17.25">
      <c r="A27" s="58" t="str">
        <f>+'S&amp;D'!A28</f>
        <v xml:space="preserve">Southwest Airlines </v>
      </c>
      <c r="B27" s="85" t="str">
        <f>+'S&amp;D'!B28</f>
        <v>LUV</v>
      </c>
      <c r="C27" s="31" t="str">
        <f>+'S&amp;D'!C28</f>
        <v>AirTrans</v>
      </c>
      <c r="D27" s="61">
        <f>+'Single Stage Div Growth Model'!F23</f>
        <v>1.8388579724171305E-2</v>
      </c>
      <c r="E27" s="61">
        <f>+'Single Stage Div Growth Model'!H23</f>
        <v>0.20499999999999999</v>
      </c>
      <c r="F27" s="169">
        <f>+F21</f>
        <v>4.2900000000000001E-2</v>
      </c>
      <c r="G27" s="61">
        <f t="shared" si="0"/>
        <v>0.12394999999999999</v>
      </c>
      <c r="H27" s="501">
        <f t="shared" si="1"/>
        <v>0.17103521195257682</v>
      </c>
      <c r="I27" s="10"/>
    </row>
    <row r="28" spans="1:11" ht="18" thickBot="1">
      <c r="A28" s="58" t="str">
        <f>+'S&amp;D'!A29</f>
        <v>United Airlines Holdings Inc</v>
      </c>
      <c r="B28" s="85" t="str">
        <f>+'S&amp;D'!B29</f>
        <v>UAL</v>
      </c>
      <c r="C28" s="31" t="str">
        <f>+'S&amp;D'!C29</f>
        <v>AirTrans</v>
      </c>
      <c r="D28" s="501" t="str">
        <f>+'Single Stage Div Growth Model'!F24</f>
        <v>NA</v>
      </c>
      <c r="E28" s="61">
        <f>+'Single Stage Div Growth Model'!H24</f>
        <v>0.13</v>
      </c>
      <c r="F28" s="169">
        <f>+F21</f>
        <v>4.2900000000000001E-2</v>
      </c>
      <c r="G28" s="61">
        <f t="shared" si="0"/>
        <v>8.6449999999999999E-2</v>
      </c>
      <c r="H28" s="506" t="s">
        <v>460</v>
      </c>
      <c r="I28" s="10"/>
    </row>
    <row r="29" spans="1:11" ht="17.25" thickTop="1">
      <c r="A29" s="10"/>
      <c r="B29" s="10"/>
      <c r="C29" s="10"/>
      <c r="D29" s="10"/>
      <c r="E29" s="10"/>
      <c r="F29" s="10"/>
      <c r="G29" s="160" t="s">
        <v>45</v>
      </c>
      <c r="H29" s="51">
        <v>0</v>
      </c>
      <c r="I29" s="10"/>
    </row>
    <row r="30" spans="1:11" ht="16.5">
      <c r="A30" s="10"/>
      <c r="B30" s="10"/>
      <c r="C30" s="12" t="s">
        <v>0</v>
      </c>
      <c r="D30" s="13" t="s">
        <v>0</v>
      </c>
      <c r="E30" s="13" t="s">
        <v>0</v>
      </c>
      <c r="F30" s="14" t="s">
        <v>0</v>
      </c>
      <c r="G30" s="274" t="s">
        <v>46</v>
      </c>
      <c r="H30" s="266">
        <v>0</v>
      </c>
      <c r="I30" s="10"/>
    </row>
    <row r="31" spans="1:11" ht="16.5">
      <c r="A31" s="10"/>
      <c r="B31" s="10"/>
      <c r="D31" s="51" t="s">
        <v>0</v>
      </c>
      <c r="E31" s="46" t="s">
        <v>0</v>
      </c>
      <c r="F31" s="46" t="s">
        <v>0</v>
      </c>
      <c r="G31" s="12" t="s">
        <v>18</v>
      </c>
      <c r="H31" s="47">
        <f>MEDIAN(H21:H28)</f>
        <v>0.17103521195257682</v>
      </c>
      <c r="I31" s="10"/>
    </row>
    <row r="32" spans="1:11" ht="16.5">
      <c r="A32" s="10"/>
      <c r="B32" s="10"/>
      <c r="D32" s="51" t="s">
        <v>0</v>
      </c>
      <c r="E32" s="46" t="s">
        <v>0</v>
      </c>
      <c r="F32" s="51" t="s">
        <v>0</v>
      </c>
      <c r="G32" s="12" t="s">
        <v>387</v>
      </c>
      <c r="H32" s="47">
        <f>AVERAGE(H21:H28)</f>
        <v>0.14814263816142351</v>
      </c>
      <c r="I32" s="10"/>
    </row>
    <row r="33" spans="1:9" ht="16.5">
      <c r="A33" s="10"/>
      <c r="B33" s="10"/>
      <c r="C33" s="12"/>
      <c r="D33" s="16" t="s">
        <v>0</v>
      </c>
      <c r="E33" s="17"/>
      <c r="F33" s="16"/>
      <c r="G33" s="18"/>
      <c r="H33" s="18"/>
      <c r="I33" s="10"/>
    </row>
    <row r="34" spans="1:9" ht="17.25" thickBot="1">
      <c r="A34" s="10"/>
      <c r="B34" s="10"/>
      <c r="C34" s="10"/>
      <c r="D34" s="10"/>
      <c r="E34" s="10"/>
      <c r="F34" s="10"/>
      <c r="G34" s="10"/>
      <c r="H34" s="10"/>
      <c r="I34" s="10"/>
    </row>
    <row r="35" spans="1:9" ht="27" thickBot="1">
      <c r="A35" s="10"/>
      <c r="B35" s="10"/>
      <c r="C35" s="10"/>
      <c r="D35" s="10"/>
      <c r="F35" s="164"/>
      <c r="G35" s="165" t="s">
        <v>224</v>
      </c>
      <c r="H35" s="477">
        <v>0.14810000000000001</v>
      </c>
      <c r="I35" s="10"/>
    </row>
    <row r="36" spans="1:9" ht="16.5">
      <c r="A36" s="10"/>
      <c r="B36" s="10"/>
      <c r="C36" s="10"/>
      <c r="D36" s="10"/>
      <c r="E36" s="10"/>
      <c r="F36" s="10"/>
      <c r="G36" s="10"/>
      <c r="H36" s="10"/>
      <c r="I36" s="10"/>
    </row>
    <row r="37" spans="1:9" ht="27">
      <c r="A37" s="21" t="s">
        <v>0</v>
      </c>
      <c r="B37" s="10"/>
      <c r="C37" s="10"/>
      <c r="D37" s="10"/>
      <c r="E37" s="10"/>
      <c r="F37" s="10"/>
      <c r="G37" s="20" t="s">
        <v>0</v>
      </c>
      <c r="H37" s="10"/>
      <c r="I37" s="10"/>
    </row>
    <row r="38" spans="1:9" ht="16.5">
      <c r="A38" s="40"/>
      <c r="B38" s="10"/>
      <c r="C38" s="10"/>
      <c r="D38" s="10"/>
      <c r="E38" s="10"/>
      <c r="F38" s="10"/>
      <c r="G38" s="10"/>
      <c r="H38" s="10"/>
      <c r="I38" s="10"/>
    </row>
    <row r="39" spans="1:9" ht="26.25">
      <c r="A39" s="21" t="s">
        <v>286</v>
      </c>
      <c r="B39" s="10"/>
      <c r="C39" s="10"/>
      <c r="D39" s="10"/>
      <c r="E39" s="10"/>
      <c r="F39" s="10"/>
      <c r="G39" s="10"/>
      <c r="H39" s="10"/>
      <c r="I39" s="10"/>
    </row>
    <row r="40" spans="1:9" ht="16.5">
      <c r="A40" s="40"/>
      <c r="B40" s="10"/>
      <c r="C40" s="10"/>
      <c r="D40" s="10"/>
      <c r="E40" s="10"/>
      <c r="F40" s="10"/>
      <c r="G40" s="10"/>
      <c r="H40" s="10"/>
      <c r="I40" s="10"/>
    </row>
    <row r="41" spans="1:9" ht="17.25">
      <c r="A41" s="58" t="s">
        <v>193</v>
      </c>
      <c r="B41" s="10"/>
      <c r="C41" s="10"/>
      <c r="D41" s="10"/>
      <c r="E41" s="10"/>
      <c r="F41" s="10"/>
      <c r="G41" s="10"/>
      <c r="H41" s="10"/>
      <c r="I41" s="10"/>
    </row>
    <row r="42" spans="1:9" ht="17.25">
      <c r="A42" s="58" t="s">
        <v>289</v>
      </c>
      <c r="B42" s="10"/>
      <c r="C42" s="10"/>
      <c r="D42" s="10"/>
      <c r="E42" s="10"/>
      <c r="F42" s="10"/>
      <c r="G42" s="10"/>
      <c r="H42" s="10"/>
      <c r="I42" s="10"/>
    </row>
    <row r="43" spans="1:9" ht="17.25">
      <c r="A43" s="58" t="s">
        <v>287</v>
      </c>
      <c r="B43" s="10"/>
      <c r="C43" s="10"/>
      <c r="D43" s="10"/>
      <c r="E43" s="10"/>
      <c r="F43" s="10"/>
      <c r="G43" s="10"/>
      <c r="H43" s="10"/>
      <c r="I43" s="10"/>
    </row>
    <row r="44" spans="1:9" ht="17.25">
      <c r="A44" s="58" t="s">
        <v>288</v>
      </c>
      <c r="B44" s="10"/>
      <c r="C44" s="10"/>
      <c r="D44" s="10"/>
      <c r="E44" s="10"/>
      <c r="F44" s="10"/>
      <c r="G44" s="10"/>
      <c r="H44" s="10"/>
      <c r="I44" s="10"/>
    </row>
    <row r="45" spans="1:9" ht="17.25">
      <c r="A45" s="58" t="s">
        <v>290</v>
      </c>
      <c r="B45" s="10"/>
      <c r="C45" s="10"/>
      <c r="D45" s="10"/>
      <c r="E45" s="10"/>
      <c r="F45" s="10"/>
      <c r="G45" s="10"/>
      <c r="H45" s="10"/>
      <c r="I45" s="10"/>
    </row>
    <row r="46" spans="1:9" ht="16.5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6.5">
      <c r="A47" s="10"/>
      <c r="B47" s="10"/>
      <c r="C47" s="10"/>
      <c r="D47" s="10"/>
      <c r="E47" s="10"/>
      <c r="F47" s="10"/>
      <c r="G47" s="10"/>
      <c r="H47" s="10"/>
      <c r="I47" s="10"/>
    </row>
    <row r="48" spans="1:9" ht="16.5">
      <c r="A48" s="10"/>
      <c r="B48" s="10"/>
      <c r="C48" s="10"/>
      <c r="D48" s="10"/>
      <c r="E48" s="10"/>
      <c r="F48" s="10"/>
      <c r="G48" s="10"/>
      <c r="H48" s="10"/>
      <c r="I48" s="10"/>
    </row>
    <row r="49" spans="1:9" ht="16.5">
      <c r="A49" s="10"/>
      <c r="B49" s="10"/>
      <c r="C49" s="10"/>
      <c r="D49" s="10"/>
      <c r="E49" s="10"/>
      <c r="F49" s="10"/>
      <c r="G49" s="10"/>
      <c r="H49" s="10"/>
      <c r="I49" s="10"/>
    </row>
    <row r="50" spans="1:9" ht="16.5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16.5">
      <c r="A51" s="10"/>
      <c r="B51" s="10"/>
      <c r="C51" s="10"/>
      <c r="D51" s="10"/>
      <c r="E51" s="10"/>
      <c r="F51" s="10"/>
      <c r="G51" s="10"/>
      <c r="H51" s="10"/>
      <c r="I51" s="10"/>
    </row>
    <row r="52" spans="1:9" ht="16.5">
      <c r="A52" s="10"/>
      <c r="B52" s="10"/>
      <c r="C52" s="10"/>
      <c r="D52" s="10"/>
      <c r="E52" s="10"/>
      <c r="F52" s="10"/>
      <c r="G52" s="10"/>
      <c r="H52" s="10"/>
      <c r="I52" s="10"/>
    </row>
    <row r="53" spans="1:9" ht="16.5">
      <c r="A53" s="10"/>
      <c r="B53" s="10"/>
      <c r="C53" s="10"/>
      <c r="D53" s="10"/>
      <c r="E53" s="10"/>
      <c r="F53" s="10"/>
      <c r="G53" s="10"/>
      <c r="H53" s="10"/>
      <c r="I53" s="10"/>
    </row>
    <row r="54" spans="1:9" ht="16.5">
      <c r="A54" s="10"/>
      <c r="B54" s="10"/>
      <c r="C54" s="10"/>
      <c r="D54" s="10"/>
      <c r="E54" s="10"/>
      <c r="F54" s="10"/>
      <c r="G54" s="10"/>
      <c r="H54" s="10"/>
      <c r="I54" s="10"/>
    </row>
    <row r="55" spans="1:9" ht="16.5">
      <c r="A55" s="10"/>
      <c r="B55" s="10"/>
      <c r="C55" s="10"/>
      <c r="D55" s="10"/>
      <c r="E55" s="10"/>
      <c r="F55" s="10"/>
      <c r="G55" s="10"/>
      <c r="H55" s="10"/>
      <c r="I55" s="10"/>
    </row>
    <row r="56" spans="1:9" ht="16.5">
      <c r="A56" s="10"/>
      <c r="B56" s="10"/>
      <c r="C56" s="10"/>
      <c r="D56" s="10"/>
      <c r="E56" s="10"/>
      <c r="F56" s="10"/>
      <c r="G56" s="10"/>
      <c r="H56" s="10"/>
      <c r="I56" s="10"/>
    </row>
    <row r="57" spans="1:9" ht="16.5">
      <c r="A57" s="10"/>
      <c r="B57" s="10"/>
      <c r="C57" s="10"/>
      <c r="D57" s="10"/>
      <c r="E57" s="10"/>
      <c r="F57" s="10"/>
      <c r="G57" s="10"/>
      <c r="H57" s="10"/>
      <c r="I57" s="10"/>
    </row>
    <row r="58" spans="1:9" ht="16.5">
      <c r="A58" s="10"/>
      <c r="B58" s="10"/>
      <c r="C58" s="10"/>
      <c r="D58" s="10"/>
      <c r="E58" s="10"/>
      <c r="F58" s="10"/>
      <c r="G58" s="10"/>
      <c r="H58" s="10"/>
      <c r="I58" s="10"/>
    </row>
    <row r="59" spans="1:9" ht="16.5">
      <c r="A59" s="10"/>
      <c r="B59" s="10"/>
      <c r="C59" s="10"/>
      <c r="D59" s="10"/>
      <c r="E59" s="10"/>
      <c r="F59" s="10"/>
      <c r="G59" s="10"/>
      <c r="H59" s="10"/>
      <c r="I59" s="10"/>
    </row>
    <row r="60" spans="1:9" ht="16.5">
      <c r="A60" s="10"/>
      <c r="B60" s="10"/>
      <c r="C60" s="10"/>
      <c r="D60" s="10"/>
      <c r="E60" s="10"/>
      <c r="F60" s="10"/>
      <c r="G60" s="10"/>
      <c r="H60" s="10"/>
      <c r="I60" s="10"/>
    </row>
    <row r="61" spans="1:9" ht="16.5">
      <c r="A61" s="10"/>
      <c r="B61" s="10"/>
      <c r="C61" s="10"/>
      <c r="D61" s="10"/>
      <c r="E61" s="10"/>
      <c r="F61" s="10"/>
      <c r="G61" s="10"/>
      <c r="H61" s="10"/>
      <c r="I61" s="10"/>
    </row>
    <row r="62" spans="1:9" ht="16.5">
      <c r="A62" s="10"/>
      <c r="B62" s="10"/>
      <c r="C62" s="10"/>
      <c r="D62" s="10"/>
      <c r="E62" s="10"/>
      <c r="F62" s="10"/>
      <c r="G62" s="10"/>
      <c r="H62" s="10"/>
      <c r="I62" s="10"/>
    </row>
    <row r="63" spans="1:9" ht="16.5">
      <c r="A63" s="10"/>
      <c r="B63" s="10"/>
      <c r="C63" s="10"/>
      <c r="D63" s="10"/>
      <c r="E63" s="10"/>
      <c r="F63" s="10"/>
      <c r="G63" s="10"/>
      <c r="H63" s="10"/>
      <c r="I63" s="10"/>
    </row>
    <row r="64" spans="1:9" ht="16.5">
      <c r="A64" s="10"/>
      <c r="B64" s="10"/>
      <c r="C64" s="10"/>
      <c r="D64" s="10"/>
      <c r="E64" s="10"/>
      <c r="F64" s="10"/>
      <c r="G64" s="10"/>
      <c r="H64" s="10"/>
      <c r="I64" s="10"/>
    </row>
    <row r="65" spans="1:9" ht="16.5">
      <c r="A65" s="10"/>
      <c r="B65" s="10"/>
      <c r="C65" s="10"/>
      <c r="D65" s="10"/>
      <c r="E65" s="10"/>
      <c r="F65" s="10"/>
      <c r="G65" s="10"/>
      <c r="H65" s="10"/>
      <c r="I65" s="10"/>
    </row>
    <row r="66" spans="1:9" ht="16.5">
      <c r="A66" s="10"/>
      <c r="B66" s="10"/>
      <c r="C66" s="10"/>
      <c r="D66" s="10"/>
      <c r="E66" s="10"/>
      <c r="F66" s="10"/>
      <c r="G66" s="10"/>
      <c r="H66" s="10"/>
      <c r="I66" s="10"/>
    </row>
    <row r="67" spans="1:9" ht="16.5">
      <c r="A67" s="10"/>
      <c r="B67" s="10"/>
      <c r="C67" s="10"/>
      <c r="D67" s="10"/>
      <c r="E67" s="10"/>
      <c r="F67" s="10"/>
      <c r="G67" s="10"/>
      <c r="H67" s="10"/>
      <c r="I67" s="10"/>
    </row>
    <row r="68" spans="1:9" ht="16.5">
      <c r="A68" s="10"/>
      <c r="B68" s="10"/>
      <c r="C68" s="10"/>
      <c r="D68" s="10"/>
      <c r="E68" s="10"/>
      <c r="F68" s="10"/>
      <c r="G68" s="10"/>
      <c r="H68" s="10"/>
      <c r="I68" s="10"/>
    </row>
    <row r="69" spans="1:9" ht="16.5">
      <c r="A69" s="10"/>
      <c r="B69" s="10"/>
      <c r="C69" s="10"/>
      <c r="D69" s="10"/>
      <c r="E69" s="10"/>
      <c r="F69" s="10"/>
      <c r="G69" s="10"/>
      <c r="H69" s="10"/>
      <c r="I69" s="10"/>
    </row>
    <row r="70" spans="1:9" ht="16.5">
      <c r="A70" s="10"/>
      <c r="B70" s="10"/>
      <c r="C70" s="10"/>
      <c r="D70" s="10"/>
      <c r="E70" s="10"/>
      <c r="F70" s="10"/>
      <c r="G70" s="10"/>
      <c r="H70" s="10"/>
      <c r="I70" s="10"/>
    </row>
    <row r="71" spans="1:9" ht="16.5">
      <c r="A71" s="10"/>
      <c r="B71" s="10"/>
      <c r="C71" s="10"/>
      <c r="D71" s="10"/>
      <c r="E71" s="10"/>
      <c r="F71" s="10"/>
      <c r="G71" s="10"/>
      <c r="H71" s="10"/>
      <c r="I71" s="10"/>
    </row>
    <row r="72" spans="1:9" ht="16.5">
      <c r="A72" s="10"/>
      <c r="B72" s="10"/>
      <c r="C72" s="10"/>
      <c r="D72" s="10"/>
      <c r="E72" s="10"/>
      <c r="F72" s="10"/>
      <c r="G72" s="10"/>
      <c r="H72" s="10"/>
      <c r="I72" s="10"/>
    </row>
    <row r="73" spans="1:9" ht="16.5">
      <c r="A73" s="10"/>
      <c r="B73" s="10"/>
      <c r="C73" s="10"/>
      <c r="D73" s="10"/>
      <c r="E73" s="10"/>
      <c r="F73" s="10"/>
      <c r="G73" s="10"/>
      <c r="H73" s="10"/>
      <c r="I73" s="10"/>
    </row>
    <row r="74" spans="1:9" ht="16.5">
      <c r="A74" s="10"/>
      <c r="B74" s="10"/>
      <c r="C74" s="10"/>
      <c r="D74" s="10"/>
      <c r="E74" s="10"/>
      <c r="F74" s="10"/>
      <c r="G74" s="10"/>
      <c r="H74" s="10"/>
      <c r="I74" s="10"/>
    </row>
    <row r="75" spans="1:9" ht="16.5">
      <c r="A75" s="10"/>
      <c r="B75" s="10"/>
      <c r="C75" s="10"/>
      <c r="D75" s="10"/>
      <c r="E75" s="10"/>
      <c r="F75" s="10"/>
      <c r="G75" s="10"/>
      <c r="H75" s="10"/>
      <c r="I75" s="10"/>
    </row>
    <row r="76" spans="1:9" ht="16.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6.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>
      <c r="A79" s="10"/>
      <c r="B79" s="10"/>
      <c r="C79" s="10"/>
      <c r="D79" s="10"/>
      <c r="E79" s="10"/>
      <c r="F79" s="10"/>
      <c r="G79" s="10"/>
      <c r="H79" s="10"/>
      <c r="I79" s="10"/>
    </row>
    <row r="80" spans="1:9" ht="16.5">
      <c r="A80" s="10"/>
      <c r="B80" s="10"/>
      <c r="C80" s="10"/>
      <c r="D80" s="10"/>
      <c r="E80" s="10"/>
      <c r="F80" s="10"/>
      <c r="G80" s="10"/>
      <c r="H80" s="10"/>
      <c r="I80" s="10"/>
    </row>
    <row r="81" spans="1:9" ht="16.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6.5">
      <c r="A85" s="10"/>
      <c r="B85" s="10"/>
      <c r="C85" s="10"/>
      <c r="D85" s="10"/>
      <c r="E85" s="10"/>
      <c r="F85" s="10"/>
      <c r="G85" s="10"/>
      <c r="H85" s="10"/>
      <c r="I85" s="10"/>
    </row>
    <row r="86" spans="1:9" ht="16.5">
      <c r="A86" s="10"/>
      <c r="B86" s="10"/>
      <c r="C86" s="10"/>
      <c r="D86" s="10"/>
      <c r="E86" s="10"/>
      <c r="F86" s="10"/>
      <c r="G86" s="10"/>
      <c r="H86" s="10"/>
      <c r="I86" s="10"/>
    </row>
    <row r="87" spans="1:9" ht="16.5">
      <c r="A87" s="10"/>
      <c r="B87" s="10"/>
      <c r="C87" s="10"/>
      <c r="D87" s="10"/>
      <c r="E87" s="10"/>
      <c r="F87" s="10"/>
      <c r="G87" s="10"/>
      <c r="H87" s="10"/>
      <c r="I87" s="10"/>
    </row>
    <row r="88" spans="1:9" ht="16.5">
      <c r="A88" s="10"/>
      <c r="B88" s="10"/>
      <c r="C88" s="10"/>
      <c r="D88" s="10"/>
      <c r="E88" s="10"/>
      <c r="F88" s="10"/>
      <c r="G88" s="10"/>
      <c r="H88" s="10"/>
      <c r="I88" s="10"/>
    </row>
    <row r="89" spans="1:9" ht="16.5">
      <c r="A89" s="10"/>
      <c r="B89" s="10"/>
      <c r="C89" s="10"/>
      <c r="D89" s="10"/>
      <c r="E89" s="10"/>
      <c r="F89" s="10"/>
      <c r="G89" s="10"/>
      <c r="H89" s="10"/>
      <c r="I89" s="10"/>
    </row>
    <row r="90" spans="1:9" ht="16.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6.5">
      <c r="A91" s="10"/>
      <c r="B91" s="10"/>
      <c r="C91" s="10"/>
      <c r="D91" s="10"/>
      <c r="E91" s="10"/>
      <c r="F91" s="10"/>
      <c r="G91" s="10"/>
      <c r="H91" s="10"/>
      <c r="I91" s="10"/>
    </row>
    <row r="92" spans="1:9" ht="16.5">
      <c r="A92" s="10"/>
      <c r="B92" s="10"/>
      <c r="C92" s="10"/>
      <c r="D92" s="10"/>
      <c r="E92" s="10"/>
      <c r="F92" s="10"/>
      <c r="G92" s="10"/>
      <c r="H92" s="10"/>
      <c r="I92" s="10"/>
    </row>
    <row r="93" spans="1:9" ht="16.5">
      <c r="A93" s="10"/>
      <c r="B93" s="10"/>
      <c r="C93" s="10"/>
      <c r="D93" s="10"/>
      <c r="E93" s="10"/>
      <c r="F93" s="10"/>
      <c r="G93" s="10"/>
      <c r="H93" s="10"/>
      <c r="I93" s="10"/>
    </row>
    <row r="94" spans="1:9" ht="16.5">
      <c r="A94" s="10"/>
      <c r="B94" s="10"/>
      <c r="C94" s="10"/>
      <c r="D94" s="10"/>
      <c r="E94" s="10"/>
      <c r="F94" s="10"/>
      <c r="G94" s="10"/>
      <c r="H94" s="10"/>
      <c r="I94" s="10"/>
    </row>
    <row r="95" spans="1:9" ht="16.5">
      <c r="A95" s="10"/>
      <c r="B95" s="10"/>
      <c r="C95" s="10"/>
      <c r="D95" s="10"/>
      <c r="E95" s="10"/>
      <c r="F95" s="10"/>
      <c r="G95" s="10"/>
      <c r="H95" s="10"/>
      <c r="I95" s="10"/>
    </row>
    <row r="96" spans="1:9" ht="16.5">
      <c r="A96" s="10"/>
      <c r="B96" s="10"/>
      <c r="C96" s="10"/>
      <c r="D96" s="10"/>
      <c r="E96" s="10"/>
      <c r="F96" s="10"/>
      <c r="G96" s="10"/>
      <c r="H96" s="10"/>
      <c r="I96" s="10"/>
    </row>
    <row r="97" spans="1:9" ht="16.5">
      <c r="A97" s="10"/>
      <c r="B97" s="10"/>
      <c r="C97" s="10"/>
      <c r="D97" s="10"/>
      <c r="E97" s="10"/>
      <c r="F97" s="10"/>
      <c r="G97" s="10"/>
      <c r="H97" s="10"/>
      <c r="I97" s="10"/>
    </row>
    <row r="98" spans="1:9" ht="16.5">
      <c r="A98" s="10"/>
      <c r="B98" s="10"/>
      <c r="C98" s="10"/>
      <c r="D98" s="10"/>
      <c r="E98" s="10"/>
      <c r="F98" s="10"/>
      <c r="G98" s="10"/>
      <c r="H98" s="10"/>
      <c r="I98" s="10"/>
    </row>
    <row r="99" spans="1:9" ht="16.5">
      <c r="A99" s="10"/>
      <c r="B99" s="10"/>
      <c r="C99" s="10"/>
      <c r="D99" s="10"/>
      <c r="E99" s="10"/>
      <c r="F99" s="10"/>
      <c r="G99" s="10"/>
      <c r="H99" s="10"/>
      <c r="I99" s="10"/>
    </row>
    <row r="100" spans="1:9" ht="16.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ht="16.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ht="16.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ht="16.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ht="16.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ht="16.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ht="16.5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ht="16.5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 ht="16.5">
      <c r="A108" s="10"/>
      <c r="B108" s="10"/>
      <c r="C108" s="10"/>
      <c r="D108" s="10"/>
      <c r="E108" s="10"/>
      <c r="F108" s="10"/>
      <c r="G108" s="10"/>
      <c r="H108" s="10"/>
      <c r="I108" s="10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8509-4469-4CA1-837E-28DCE856C1A1}">
  <sheetPr>
    <tabColor rgb="FF92D050"/>
  </sheetPr>
  <dimension ref="A1:N42"/>
  <sheetViews>
    <sheetView view="pageBreakPreview" zoomScale="60" zoomScaleNormal="80" workbookViewId="0">
      <selection activeCell="E4" sqref="E4"/>
    </sheetView>
  </sheetViews>
  <sheetFormatPr defaultRowHeight="15"/>
  <cols>
    <col min="1" max="1" width="21.5703125" customWidth="1"/>
    <col min="2" max="2" width="45.5703125" customWidth="1"/>
    <col min="3" max="3" width="20.85546875" customWidth="1"/>
    <col min="4" max="4" width="24" customWidth="1"/>
    <col min="5" max="6" width="29.42578125" customWidth="1"/>
    <col min="7" max="7" width="21.85546875" customWidth="1"/>
    <col min="8" max="8" width="29.5703125" customWidth="1"/>
    <col min="9" max="9" width="25.85546875" customWidth="1"/>
    <col min="10" max="10" width="21.42578125" customWidth="1"/>
    <col min="11" max="11" width="4.42578125" customWidth="1"/>
    <col min="12" max="12" width="22.5703125" customWidth="1"/>
    <col min="13" max="13" width="17.42578125" customWidth="1"/>
  </cols>
  <sheetData>
    <row r="1" spans="1:14" ht="26.25">
      <c r="A1" s="21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7.25">
      <c r="A2" s="58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6.5">
      <c r="A3" s="23" t="s">
        <v>465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5">
      <c r="A4" s="10"/>
      <c r="C4" s="10"/>
      <c r="D4" s="10"/>
      <c r="E4" s="503" t="s">
        <v>0</v>
      </c>
      <c r="F4" s="10"/>
      <c r="G4" s="10"/>
      <c r="H4" s="10"/>
      <c r="I4" s="10"/>
      <c r="J4" s="10"/>
      <c r="K4" s="10"/>
      <c r="L4" s="10"/>
      <c r="M4" s="10"/>
      <c r="N4" s="10"/>
    </row>
    <row r="5" spans="1:14" ht="18" thickBot="1">
      <c r="A5" s="5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1" thickBot="1">
      <c r="A6" s="25" t="str">
        <f>+'S&amp;D'!A12</f>
        <v>Air Passenger Carriers</v>
      </c>
      <c r="B6" s="161"/>
      <c r="C6" s="10"/>
      <c r="D6" s="10"/>
      <c r="E6" s="10"/>
      <c r="F6" s="10"/>
      <c r="G6" s="10"/>
      <c r="H6" s="10"/>
    </row>
    <row r="7" spans="1:14" ht="18" thickBot="1">
      <c r="A7" s="58"/>
      <c r="C7" s="10"/>
      <c r="D7" s="26"/>
      <c r="E7" s="26"/>
      <c r="F7" s="26"/>
      <c r="G7" s="10"/>
      <c r="H7" s="10"/>
    </row>
    <row r="8" spans="1:14" ht="26.25">
      <c r="C8" s="10"/>
      <c r="D8" s="10"/>
      <c r="E8" s="28" t="s">
        <v>342</v>
      </c>
      <c r="F8" s="10"/>
      <c r="G8" s="10"/>
      <c r="H8" s="10"/>
    </row>
    <row r="9" spans="1:14" ht="21" thickBot="1">
      <c r="B9" s="27"/>
      <c r="C9" s="10"/>
      <c r="D9" s="26"/>
      <c r="E9" s="29" t="s">
        <v>478</v>
      </c>
      <c r="F9" s="26"/>
      <c r="G9" s="10"/>
      <c r="H9" s="10"/>
    </row>
    <row r="10" spans="1:14" ht="17.25" thickBot="1">
      <c r="B10" s="30" t="s">
        <v>0</v>
      </c>
      <c r="C10" s="30" t="s">
        <v>0</v>
      </c>
      <c r="D10" s="30" t="s">
        <v>0</v>
      </c>
      <c r="E10" s="30" t="s">
        <v>0</v>
      </c>
      <c r="F10" s="30" t="s">
        <v>0</v>
      </c>
      <c r="G10" s="30" t="s">
        <v>0</v>
      </c>
      <c r="H10" s="26"/>
      <c r="I10" s="137"/>
      <c r="J10" s="137"/>
    </row>
    <row r="11" spans="1:14" ht="16.5">
      <c r="B11" s="31" t="s">
        <v>0</v>
      </c>
      <c r="C11" s="31" t="s">
        <v>3</v>
      </c>
      <c r="D11" s="31" t="s">
        <v>322</v>
      </c>
      <c r="E11" s="328" t="s">
        <v>323</v>
      </c>
      <c r="F11" s="31" t="s">
        <v>220</v>
      </c>
      <c r="G11" s="31" t="s">
        <v>26</v>
      </c>
      <c r="H11" s="328" t="s">
        <v>341</v>
      </c>
      <c r="I11" s="31" t="s">
        <v>341</v>
      </c>
      <c r="J11" s="31" t="s">
        <v>26</v>
      </c>
    </row>
    <row r="12" spans="1:14" ht="17.25" thickBot="1">
      <c r="B12" s="33" t="s">
        <v>2</v>
      </c>
      <c r="C12" s="33" t="s">
        <v>4</v>
      </c>
      <c r="D12" s="33" t="s">
        <v>27</v>
      </c>
      <c r="E12" s="329" t="s">
        <v>158</v>
      </c>
      <c r="F12" s="33" t="s">
        <v>343</v>
      </c>
      <c r="G12" s="33" t="s">
        <v>29</v>
      </c>
      <c r="H12" s="329" t="s">
        <v>351</v>
      </c>
      <c r="I12" s="33" t="s">
        <v>28</v>
      </c>
      <c r="J12" s="33" t="s">
        <v>29</v>
      </c>
    </row>
    <row r="13" spans="1:14">
      <c r="B13" s="35" t="s">
        <v>0</v>
      </c>
      <c r="C13" s="35" t="s">
        <v>0</v>
      </c>
      <c r="D13" s="36" t="s">
        <v>112</v>
      </c>
      <c r="E13" s="330" t="s">
        <v>113</v>
      </c>
      <c r="F13" s="35" t="s">
        <v>0</v>
      </c>
      <c r="G13" s="35" t="s">
        <v>0</v>
      </c>
      <c r="H13" s="330" t="s">
        <v>113</v>
      </c>
      <c r="I13" s="35" t="s">
        <v>0</v>
      </c>
      <c r="J13" s="35" t="s">
        <v>0</v>
      </c>
    </row>
    <row r="14" spans="1:14" ht="16.5">
      <c r="B14" s="31"/>
      <c r="C14" s="31"/>
      <c r="D14" s="31"/>
      <c r="E14" s="331"/>
      <c r="F14" s="31"/>
      <c r="G14" s="31"/>
      <c r="H14" s="331"/>
      <c r="I14" s="31"/>
      <c r="J14" s="31"/>
    </row>
    <row r="15" spans="1:14" ht="16.5">
      <c r="B15" s="10"/>
      <c r="C15" s="10"/>
      <c r="D15" s="10"/>
      <c r="E15" s="332"/>
      <c r="F15" s="10"/>
      <c r="G15" s="10"/>
      <c r="H15" s="332"/>
      <c r="I15" s="10"/>
      <c r="J15" s="10"/>
    </row>
    <row r="16" spans="1:14" ht="17.25">
      <c r="B16" s="58" t="str">
        <f>+'S&amp;D'!A22</f>
        <v xml:space="preserve">Alaska Air </v>
      </c>
      <c r="C16" s="85" t="str">
        <f>+'S&amp;D'!B22</f>
        <v>ALK</v>
      </c>
      <c r="D16" s="159">
        <f>+'S&amp;D'!G22</f>
        <v>50.3</v>
      </c>
      <c r="E16" s="333">
        <v>133.75</v>
      </c>
      <c r="F16" s="323">
        <f>D16/E16</f>
        <v>0.37607476635514014</v>
      </c>
      <c r="G16" s="52">
        <f t="shared" ref="G16:G23" si="0">1/F16</f>
        <v>2.6590457256461235</v>
      </c>
      <c r="H16" s="333">
        <v>37.299999999999997</v>
      </c>
      <c r="I16" s="323">
        <f t="shared" ref="I16:I23" si="1">D16/H16</f>
        <v>1.3485254691689008</v>
      </c>
      <c r="J16" s="52">
        <f t="shared" ref="J16:J23" si="2">1/I16</f>
        <v>0.74155069582504973</v>
      </c>
    </row>
    <row r="17" spans="2:10" ht="17.25">
      <c r="B17" s="58" t="str">
        <f>+'S&amp;D'!A23</f>
        <v xml:space="preserve">Allegiant Travel Co. </v>
      </c>
      <c r="C17" s="85" t="str">
        <f>+'S&amp;D'!B23</f>
        <v>ALGT</v>
      </c>
      <c r="D17" s="159">
        <f>+'S&amp;D'!G23</f>
        <v>85.27</v>
      </c>
      <c r="E17" s="333">
        <v>150.69999999999999</v>
      </c>
      <c r="F17" s="323">
        <f>D17/E17</f>
        <v>0.56582614465826142</v>
      </c>
      <c r="G17" s="52">
        <f t="shared" si="0"/>
        <v>1.7673273132402956</v>
      </c>
      <c r="H17" s="333">
        <v>58.9</v>
      </c>
      <c r="I17" s="323">
        <f t="shared" si="1"/>
        <v>1.4477079796264856</v>
      </c>
      <c r="J17" s="52">
        <f t="shared" si="2"/>
        <v>0.69074703881787269</v>
      </c>
    </row>
    <row r="18" spans="2:10" ht="17.25">
      <c r="B18" s="58" t="str">
        <f>+'S&amp;D'!A24</f>
        <v xml:space="preserve">American Airlines </v>
      </c>
      <c r="C18" s="85" t="str">
        <f>+'S&amp;D'!B24</f>
        <v>AAL</v>
      </c>
      <c r="D18" s="159">
        <f>+'S&amp;D'!G24</f>
        <v>15.33</v>
      </c>
      <c r="E18" s="333">
        <v>88.7</v>
      </c>
      <c r="F18" s="323">
        <f>D18/E18</f>
        <v>0.17282976324689966</v>
      </c>
      <c r="G18" s="52">
        <f t="shared" si="0"/>
        <v>5.7860404435746897</v>
      </c>
      <c r="H18" s="478">
        <v>1.55</v>
      </c>
      <c r="I18" s="323">
        <f>D18/H18</f>
        <v>9.8903225806451616</v>
      </c>
      <c r="J18" s="52">
        <f t="shared" si="2"/>
        <v>0.10110893672537508</v>
      </c>
    </row>
    <row r="19" spans="2:10" ht="17.25">
      <c r="B19" s="58" t="str">
        <f>+'S&amp;D'!A25</f>
        <v xml:space="preserve">Delta Air Lines </v>
      </c>
      <c r="C19" s="85" t="str">
        <f>+'S&amp;D'!B25</f>
        <v>DAL</v>
      </c>
      <c r="D19" s="159">
        <f>+'S&amp;D'!G25</f>
        <v>69.400000000000006</v>
      </c>
      <c r="E19" s="333">
        <v>95.4</v>
      </c>
      <c r="F19" s="323">
        <f t="shared" ref="F19:F23" si="3">D19/E19</f>
        <v>0.72746331236897277</v>
      </c>
      <c r="G19" s="52">
        <f t="shared" si="0"/>
        <v>1.3746397694524495</v>
      </c>
      <c r="H19" s="333">
        <v>37.869999999999997</v>
      </c>
      <c r="I19" s="323">
        <f t="shared" si="1"/>
        <v>1.8325851597570639</v>
      </c>
      <c r="J19" s="52">
        <f t="shared" si="2"/>
        <v>0.54567723342939478</v>
      </c>
    </row>
    <row r="20" spans="2:10" ht="17.25">
      <c r="B20" s="58" t="str">
        <f>+'S&amp;D'!A26</f>
        <v xml:space="preserve">JetBlue Airways </v>
      </c>
      <c r="C20" s="85" t="str">
        <f>+'S&amp;D'!B26</f>
        <v>JBLU</v>
      </c>
      <c r="D20" s="159">
        <f>+'S&amp;D'!G26</f>
        <v>4.55</v>
      </c>
      <c r="E20" s="333">
        <v>25.95</v>
      </c>
      <c r="F20" s="323">
        <f t="shared" si="3"/>
        <v>0.17533718689788053</v>
      </c>
      <c r="G20" s="52">
        <f t="shared" si="0"/>
        <v>5.7032967032967035</v>
      </c>
      <c r="H20" s="333">
        <v>7.9</v>
      </c>
      <c r="I20" s="323">
        <f t="shared" si="1"/>
        <v>0.57594936708860756</v>
      </c>
      <c r="J20" s="52">
        <f t="shared" si="2"/>
        <v>1.7362637362637363</v>
      </c>
    </row>
    <row r="21" spans="2:10" ht="17.25">
      <c r="B21" s="58" t="str">
        <f>+'S&amp;D'!A27</f>
        <v>Skywest Inc</v>
      </c>
      <c r="C21" s="85" t="str">
        <f>+'S&amp;D'!B27</f>
        <v>SKYW</v>
      </c>
      <c r="D21" s="159">
        <f>+'S&amp;D'!G27</f>
        <v>100.41</v>
      </c>
      <c r="E21" s="333">
        <v>105</v>
      </c>
      <c r="F21" s="323">
        <f t="shared" si="3"/>
        <v>0.95628571428571429</v>
      </c>
      <c r="G21" s="52">
        <f t="shared" si="0"/>
        <v>1.0457125784284433</v>
      </c>
      <c r="H21" s="333">
        <v>75</v>
      </c>
      <c r="I21" s="323">
        <f t="shared" si="1"/>
        <v>1.3388</v>
      </c>
      <c r="J21" s="52">
        <f t="shared" si="2"/>
        <v>0.74693755602031675</v>
      </c>
    </row>
    <row r="22" spans="2:10" ht="17.25">
      <c r="B22" s="58" t="str">
        <f>+'S&amp;D'!A28</f>
        <v xml:space="preserve">Southwest Airlines </v>
      </c>
      <c r="C22" s="85" t="str">
        <f>+'S&amp;D'!B28</f>
        <v>LUV</v>
      </c>
      <c r="D22" s="159">
        <f>+'S&amp;D'!G28</f>
        <v>41.33</v>
      </c>
      <c r="E22" s="333">
        <v>54.65</v>
      </c>
      <c r="F22" s="323">
        <f t="shared" si="3"/>
        <v>0.75626715462031102</v>
      </c>
      <c r="G22" s="52">
        <f t="shared" si="0"/>
        <v>1.3222840551657393</v>
      </c>
      <c r="H22" s="333">
        <v>15</v>
      </c>
      <c r="I22" s="323">
        <f t="shared" si="1"/>
        <v>2.7553333333333332</v>
      </c>
      <c r="J22" s="52">
        <f t="shared" si="2"/>
        <v>0.36293249455601262</v>
      </c>
    </row>
    <row r="23" spans="2:10" ht="18" thickBot="1">
      <c r="B23" s="58" t="str">
        <f>+'S&amp;D'!A29</f>
        <v>United Airlines Holdings Inc</v>
      </c>
      <c r="C23" s="85" t="str">
        <f>+'S&amp;D'!B29</f>
        <v>UAL</v>
      </c>
      <c r="D23" s="159">
        <f>+'S&amp;D'!G29</f>
        <v>111.82</v>
      </c>
      <c r="E23" s="334">
        <v>200.3</v>
      </c>
      <c r="F23" s="324">
        <f t="shared" si="3"/>
        <v>0.55826260609086364</v>
      </c>
      <c r="G23" s="339">
        <f t="shared" si="0"/>
        <v>1.7912716866392417</v>
      </c>
      <c r="H23" s="334">
        <v>58</v>
      </c>
      <c r="I23" s="324">
        <f t="shared" si="1"/>
        <v>1.9279310344827585</v>
      </c>
      <c r="J23" s="340">
        <f t="shared" si="2"/>
        <v>0.5186907529958863</v>
      </c>
    </row>
    <row r="24" spans="2:10" ht="17.25" thickTop="1">
      <c r="B24" s="10"/>
      <c r="D24" s="12" t="s">
        <v>45</v>
      </c>
      <c r="E24" s="335">
        <f t="shared" ref="E24:J24" si="4">MAX(E16:E23)</f>
        <v>200.3</v>
      </c>
      <c r="F24" s="311">
        <f t="shared" si="4"/>
        <v>0.95628571428571429</v>
      </c>
      <c r="G24" s="310">
        <f t="shared" si="4"/>
        <v>5.7860404435746897</v>
      </c>
      <c r="H24" s="335">
        <f t="shared" si="4"/>
        <v>75</v>
      </c>
      <c r="I24" s="311">
        <f t="shared" si="4"/>
        <v>9.8903225806451616</v>
      </c>
      <c r="J24" s="310">
        <f t="shared" si="4"/>
        <v>1.7362637362637363</v>
      </c>
    </row>
    <row r="25" spans="2:10" ht="16.5">
      <c r="B25" s="10"/>
      <c r="D25" s="275" t="s">
        <v>46</v>
      </c>
      <c r="E25" s="336">
        <f t="shared" ref="E25:J25" si="5">MIN(E16:E23)</f>
        <v>25.95</v>
      </c>
      <c r="F25" s="312">
        <f t="shared" si="5"/>
        <v>0.17282976324689966</v>
      </c>
      <c r="G25" s="309">
        <f t="shared" si="5"/>
        <v>1.0457125784284433</v>
      </c>
      <c r="H25" s="336">
        <f t="shared" si="5"/>
        <v>1.55</v>
      </c>
      <c r="I25" s="312">
        <f t="shared" si="5"/>
        <v>0.57594936708860756</v>
      </c>
      <c r="J25" s="309">
        <f t="shared" si="5"/>
        <v>0.10110893672537508</v>
      </c>
    </row>
    <row r="26" spans="2:10" ht="16.5">
      <c r="B26" s="10"/>
      <c r="D26" s="12" t="s">
        <v>18</v>
      </c>
      <c r="E26" s="337" t="s">
        <v>0</v>
      </c>
      <c r="F26" s="19">
        <f>MEDIAN(F16:F23)</f>
        <v>0.56204437537456253</v>
      </c>
      <c r="G26" s="52">
        <f>MEDIAN(G16:G23)</f>
        <v>1.7792994999397687</v>
      </c>
      <c r="H26" s="337" t="s">
        <v>0</v>
      </c>
      <c r="I26" s="16">
        <f>MEDIAN(I16:I23)</f>
        <v>1.6401465696917747</v>
      </c>
      <c r="J26" s="52">
        <f>MEDIAN(J16:J23)</f>
        <v>0.61821213612363368</v>
      </c>
    </row>
    <row r="27" spans="2:10" ht="16.5">
      <c r="B27" s="10"/>
      <c r="D27" s="12" t="s">
        <v>387</v>
      </c>
      <c r="E27" s="338" t="s">
        <v>0</v>
      </c>
      <c r="F27" s="17">
        <f>AVERAGE(F16:F23)</f>
        <v>0.53604333106550539</v>
      </c>
      <c r="G27" s="68">
        <f>AVERAGE(G16:G23)</f>
        <v>2.6812022844304608</v>
      </c>
      <c r="H27" s="338" t="s">
        <v>0</v>
      </c>
      <c r="I27" s="16">
        <f>AVERAGE(I16:I23)</f>
        <v>2.639644365512789</v>
      </c>
      <c r="J27" s="68">
        <f>AVERAGE(J16:J23)</f>
        <v>0.68048855557920551</v>
      </c>
    </row>
    <row r="28" spans="2:10" ht="16.5">
      <c r="B28" s="10"/>
      <c r="C28" s="10"/>
      <c r="D28" s="10"/>
      <c r="E28" s="10"/>
      <c r="F28" s="10"/>
      <c r="H28" s="10"/>
      <c r="I28" s="10"/>
    </row>
    <row r="29" spans="2:10" ht="16.5">
      <c r="B29" s="10"/>
      <c r="C29" s="10"/>
      <c r="D29" s="10"/>
      <c r="E29" s="10"/>
      <c r="F29" s="10"/>
      <c r="H29" s="10"/>
      <c r="I29" s="10"/>
    </row>
    <row r="30" spans="2:10" ht="17.25" thickBot="1">
      <c r="B30" s="10"/>
      <c r="C30" s="10"/>
      <c r="D30" s="10"/>
      <c r="E30" s="10"/>
      <c r="F30" s="10"/>
      <c r="I30" s="10"/>
    </row>
    <row r="31" spans="2:10" ht="27" thickBot="1">
      <c r="B31" s="70" t="s">
        <v>0</v>
      </c>
      <c r="C31" s="10"/>
      <c r="D31" s="21" t="s">
        <v>118</v>
      </c>
      <c r="E31" s="21"/>
      <c r="F31" s="341">
        <v>0.54</v>
      </c>
      <c r="I31" s="341">
        <v>2.64</v>
      </c>
    </row>
    <row r="32" spans="2:10" ht="16.5">
      <c r="B32" s="70" t="s">
        <v>0</v>
      </c>
      <c r="C32" s="10"/>
      <c r="D32" s="10"/>
      <c r="E32" s="10"/>
      <c r="F32" s="10"/>
      <c r="H32" s="10"/>
    </row>
    <row r="33" spans="1:14" ht="16.5">
      <c r="B33" s="70"/>
      <c r="C33" s="10"/>
      <c r="D33" s="10"/>
      <c r="E33" s="10"/>
      <c r="F33" s="10"/>
      <c r="H33" s="10"/>
    </row>
    <row r="34" spans="1:14" ht="17.25">
      <c r="A34" s="101" t="s">
        <v>344</v>
      </c>
      <c r="B34" s="70"/>
      <c r="C34" s="10"/>
      <c r="D34" s="10"/>
      <c r="E34" s="10"/>
      <c r="F34" s="10"/>
      <c r="H34" s="10"/>
    </row>
    <row r="35" spans="1:14" ht="17.25">
      <c r="A35" s="101" t="s">
        <v>327</v>
      </c>
      <c r="B35" s="70"/>
      <c r="C35" s="10"/>
      <c r="D35" s="10"/>
      <c r="E35" s="10"/>
      <c r="F35" s="10"/>
      <c r="G35" s="10"/>
      <c r="H35" s="10"/>
    </row>
    <row r="36" spans="1:14" ht="16.5">
      <c r="B36" s="70"/>
      <c r="C36" s="10"/>
      <c r="D36" s="10"/>
      <c r="E36" s="10"/>
      <c r="F36" s="10"/>
      <c r="G36" s="10"/>
      <c r="H36" s="10"/>
    </row>
    <row r="37" spans="1:14" ht="17.25">
      <c r="A37" s="101" t="s">
        <v>345</v>
      </c>
      <c r="B37" s="70"/>
      <c r="C37" s="10"/>
      <c r="D37" s="10"/>
      <c r="E37" s="10"/>
      <c r="F37" s="10"/>
      <c r="G37" s="10"/>
      <c r="H37" s="10"/>
    </row>
    <row r="38" spans="1:14" ht="17.25">
      <c r="A38" s="101" t="s">
        <v>325</v>
      </c>
      <c r="B38" s="70"/>
      <c r="C38" s="10"/>
      <c r="D38" s="10"/>
      <c r="E38" s="10"/>
      <c r="F38" s="10"/>
      <c r="G38" s="10"/>
      <c r="H38" s="10"/>
    </row>
    <row r="39" spans="1:14" ht="17.25">
      <c r="A39" s="101" t="s">
        <v>326</v>
      </c>
      <c r="B39" s="70"/>
      <c r="C39" s="10"/>
      <c r="D39" s="10"/>
      <c r="E39" s="10"/>
      <c r="F39" s="10"/>
      <c r="G39" s="10"/>
      <c r="H39" s="10"/>
    </row>
    <row r="40" spans="1:14" ht="16.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6.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6.5">
      <c r="B42" s="70"/>
      <c r="C42" s="10"/>
      <c r="D42" s="10"/>
      <c r="E42" s="10"/>
      <c r="F42" s="10"/>
      <c r="G42" s="10"/>
      <c r="H42" s="10"/>
    </row>
  </sheetData>
  <pageMargins left="0.25" right="0.25" top="0.75" bottom="0.75" header="0.3" footer="0.3"/>
  <pageSetup scale="40" orientation="landscape" r:id="rId1"/>
  <rowBreaks count="1" manualBreakCount="1">
    <brk id="42" max="7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"/>
  <sheetViews>
    <sheetView workbookViewId="0">
      <selection activeCell="V22" sqref="V22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42DF98-036B-404C-B213-D49527A04458}"/>
</file>

<file path=customXml/itemProps2.xml><?xml version="1.0" encoding="utf-8"?>
<ds:datastoreItem xmlns:ds="http://schemas.openxmlformats.org/officeDocument/2006/customXml" ds:itemID="{97EFB5FF-6355-4AC3-ADED-2C02B804ACBC}"/>
</file>

<file path=customXml/itemProps3.xml><?xml version="1.0" encoding="utf-8"?>
<ds:datastoreItem xmlns:ds="http://schemas.openxmlformats.org/officeDocument/2006/customXml" ds:itemID="{1BBB54E9-BE79-4F8E-9F7D-DC526A375A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CAPM</vt:lpstr>
      <vt:lpstr>Growth &amp; Inflation Rates</vt:lpstr>
      <vt:lpstr>Indicated Yield Equity Rate </vt:lpstr>
      <vt:lpstr>Single Stage Div Growth Model</vt:lpstr>
      <vt:lpstr>Two-Stage Div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 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Air Passenger Carriers</dc:title>
  <dc:creator>%USERNAME%</dc:creator>
  <cp:lastModifiedBy>Carbin, Robert A (DOR)</cp:lastModifiedBy>
  <cp:lastPrinted>2023-05-30T15:13:54Z</cp:lastPrinted>
  <dcterms:created xsi:type="dcterms:W3CDTF">2016-02-12T19:29:24Z</dcterms:created>
  <dcterms:modified xsi:type="dcterms:W3CDTF">2026-09-21T16:09:49Z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